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2\ФІНПЛАНИ\ЗВІТ ЗА 3 місяці 2022\"/>
    </mc:Choice>
  </mc:AlternateContent>
  <bookViews>
    <workbookView xWindow="0" yWindow="0" windowWidth="28800" windowHeight="123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Формування'!$A$1:$H$104</definedName>
    <definedName name="_xlnm.Print_Area" localSheetId="2">'Розшифровка 2 до формування'!$A$1:$H$265</definedName>
    <definedName name="_xlnm.Print_Area" localSheetId="4">'Розшифровка за джерелами'!$A$1:$P$20</definedName>
    <definedName name="_xlnm.Print_Area" localSheetId="3">'Розшифровка кап'!$A$1:$G$30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F95" i="22" l="1"/>
  <c r="D15" i="14"/>
  <c r="E31" i="14" l="1"/>
  <c r="C36" i="14"/>
  <c r="H200" i="26" l="1"/>
  <c r="G200" i="26"/>
  <c r="H197" i="26"/>
  <c r="G197" i="26"/>
  <c r="H194" i="26"/>
  <c r="H187" i="26"/>
  <c r="G187" i="26"/>
  <c r="N12" i="9"/>
  <c r="H11" i="9"/>
  <c r="H13" i="9"/>
  <c r="H72" i="14" l="1"/>
  <c r="G72" i="14"/>
  <c r="H59" i="14"/>
  <c r="G59" i="14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2" i="22"/>
  <c r="G72" i="22"/>
  <c r="H71" i="22"/>
  <c r="G71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2" i="22"/>
  <c r="G52" i="22"/>
  <c r="H50" i="22"/>
  <c r="G50" i="22"/>
  <c r="H49" i="22"/>
  <c r="G49" i="22"/>
  <c r="H48" i="22"/>
  <c r="G48" i="22"/>
  <c r="H47" i="22"/>
  <c r="G47" i="22"/>
  <c r="H46" i="22"/>
  <c r="G46" i="22"/>
  <c r="H45" i="22"/>
  <c r="G45" i="22"/>
  <c r="H44" i="22"/>
  <c r="G44" i="22"/>
  <c r="H42" i="22"/>
  <c r="G42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27" i="22"/>
  <c r="G27" i="22"/>
  <c r="H26" i="22"/>
  <c r="G26" i="22"/>
  <c r="H25" i="22"/>
  <c r="G25" i="22"/>
  <c r="H24" i="22"/>
  <c r="G24" i="22"/>
  <c r="H15" i="22"/>
  <c r="G15" i="22"/>
  <c r="H6" i="22"/>
  <c r="G6" i="22"/>
  <c r="F36" i="22"/>
  <c r="F15" i="26"/>
  <c r="F29" i="26"/>
  <c r="D29" i="26"/>
  <c r="F202" i="26"/>
  <c r="D202" i="26"/>
  <c r="F19" i="22"/>
  <c r="F14" i="22"/>
  <c r="D38" i="26"/>
  <c r="D40" i="26"/>
  <c r="D16" i="26"/>
  <c r="D15" i="26"/>
  <c r="D11" i="26" l="1"/>
  <c r="M10" i="26"/>
  <c r="E57" i="26"/>
  <c r="E9" i="26"/>
  <c r="M11" i="26"/>
  <c r="E58" i="26"/>
  <c r="H220" i="26" l="1"/>
  <c r="G220" i="26"/>
  <c r="H219" i="26"/>
  <c r="G219" i="26"/>
  <c r="H217" i="26"/>
  <c r="G217" i="26"/>
  <c r="H216" i="26"/>
  <c r="G216" i="26"/>
  <c r="H215" i="26"/>
  <c r="G215" i="26"/>
  <c r="H214" i="26"/>
  <c r="G214" i="26"/>
  <c r="H213" i="26"/>
  <c r="G213" i="26"/>
  <c r="F219" i="26"/>
  <c r="F218" i="26"/>
  <c r="H218" i="26" s="1"/>
  <c r="F216" i="26"/>
  <c r="D219" i="26"/>
  <c r="D218" i="26" s="1"/>
  <c r="H202" i="26"/>
  <c r="D206" i="26"/>
  <c r="D229" i="26"/>
  <c r="F226" i="26"/>
  <c r="H257" i="26"/>
  <c r="G257" i="26"/>
  <c r="H255" i="26"/>
  <c r="G255" i="26"/>
  <c r="H254" i="26"/>
  <c r="G254" i="26"/>
  <c r="H253" i="26"/>
  <c r="G253" i="26"/>
  <c r="H252" i="26"/>
  <c r="G252" i="26"/>
  <c r="H251" i="26"/>
  <c r="G251" i="26"/>
  <c r="H250" i="26"/>
  <c r="G250" i="26"/>
  <c r="H249" i="26"/>
  <c r="G249" i="26"/>
  <c r="H248" i="26"/>
  <c r="G248" i="26"/>
  <c r="H247" i="26"/>
  <c r="G247" i="26"/>
  <c r="H246" i="26"/>
  <c r="G246" i="26"/>
  <c r="H245" i="26"/>
  <c r="G245" i="26"/>
  <c r="H244" i="26"/>
  <c r="G244" i="26"/>
  <c r="H243" i="26"/>
  <c r="G243" i="26"/>
  <c r="H241" i="26"/>
  <c r="G241" i="26"/>
  <c r="H240" i="26"/>
  <c r="G240" i="26"/>
  <c r="H237" i="26"/>
  <c r="G237" i="26"/>
  <c r="H236" i="26"/>
  <c r="G236" i="26"/>
  <c r="H235" i="26"/>
  <c r="G235" i="26"/>
  <c r="H234" i="26"/>
  <c r="G234" i="26"/>
  <c r="H233" i="26"/>
  <c r="G233" i="26"/>
  <c r="H232" i="26"/>
  <c r="G232" i="26"/>
  <c r="H230" i="26"/>
  <c r="G230" i="26"/>
  <c r="H229" i="26"/>
  <c r="G229" i="26"/>
  <c r="H228" i="26"/>
  <c r="G228" i="26"/>
  <c r="H227" i="26"/>
  <c r="G227" i="26"/>
  <c r="H226" i="26"/>
  <c r="G226" i="26"/>
  <c r="H225" i="26"/>
  <c r="G225" i="26"/>
  <c r="H222" i="26"/>
  <c r="G222" i="26"/>
  <c r="H212" i="26"/>
  <c r="G212" i="26"/>
  <c r="H211" i="26"/>
  <c r="G211" i="26"/>
  <c r="H210" i="26"/>
  <c r="G210" i="26"/>
  <c r="H209" i="26"/>
  <c r="G209" i="26"/>
  <c r="H208" i="26"/>
  <c r="G208" i="26"/>
  <c r="H206" i="26"/>
  <c r="G206" i="26"/>
  <c r="H205" i="26"/>
  <c r="G205" i="26"/>
  <c r="H204" i="26"/>
  <c r="G204" i="26"/>
  <c r="H203" i="26"/>
  <c r="G203" i="26"/>
  <c r="H172" i="26"/>
  <c r="G172" i="26"/>
  <c r="G171" i="26"/>
  <c r="F171" i="26"/>
  <c r="F170" i="26" s="1"/>
  <c r="F150" i="26"/>
  <c r="E168" i="26"/>
  <c r="D168" i="26"/>
  <c r="D203" i="26"/>
  <c r="D204" i="26"/>
  <c r="F80" i="26"/>
  <c r="F53" i="26"/>
  <c r="F52" i="26" s="1"/>
  <c r="D19" i="22"/>
  <c r="H20" i="22"/>
  <c r="G20" i="22"/>
  <c r="H19" i="22"/>
  <c r="G19" i="22"/>
  <c r="H18" i="22"/>
  <c r="G18" i="22"/>
  <c r="H17" i="22"/>
  <c r="G17" i="22"/>
  <c r="H16" i="22"/>
  <c r="G16" i="22"/>
  <c r="H14" i="22"/>
  <c r="G14" i="22"/>
  <c r="H13" i="22"/>
  <c r="G13" i="22"/>
  <c r="H10" i="22"/>
  <c r="G10" i="22"/>
  <c r="H9" i="22"/>
  <c r="G9" i="22"/>
  <c r="H8" i="22"/>
  <c r="G8" i="22"/>
  <c r="G218" i="26" l="1"/>
  <c r="D216" i="26"/>
  <c r="G202" i="26"/>
  <c r="F168" i="26"/>
  <c r="H168" i="26" s="1"/>
  <c r="H170" i="26"/>
  <c r="G170" i="26"/>
  <c r="H171" i="26"/>
  <c r="D201" i="26"/>
  <c r="D200" i="26" s="1"/>
  <c r="L10" i="26" s="1"/>
  <c r="N27" i="26"/>
  <c r="M27" i="26"/>
  <c r="N26" i="26"/>
  <c r="M26" i="26"/>
  <c r="M21" i="26"/>
  <c r="N20" i="26"/>
  <c r="M20" i="26"/>
  <c r="N19" i="26"/>
  <c r="M19" i="26"/>
  <c r="L21" i="26"/>
  <c r="M12" i="26"/>
  <c r="G168" i="26" l="1"/>
  <c r="M32" i="26"/>
  <c r="H184" i="26"/>
  <c r="G184" i="26"/>
  <c r="H183" i="26"/>
  <c r="G183" i="26"/>
  <c r="H182" i="26"/>
  <c r="G182" i="26"/>
  <c r="H179" i="26"/>
  <c r="G179" i="26"/>
  <c r="H177" i="26"/>
  <c r="G177" i="26"/>
  <c r="H174" i="26"/>
  <c r="G174" i="26"/>
  <c r="H167" i="26"/>
  <c r="G167" i="26"/>
  <c r="H166" i="26"/>
  <c r="G166" i="26"/>
  <c r="H165" i="26"/>
  <c r="G165" i="26"/>
  <c r="H164" i="26"/>
  <c r="G164" i="26"/>
  <c r="H161" i="26"/>
  <c r="G161" i="26"/>
  <c r="H160" i="26"/>
  <c r="G160" i="26"/>
  <c r="H159" i="26"/>
  <c r="G159" i="26"/>
  <c r="H158" i="26"/>
  <c r="G158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6" i="26"/>
  <c r="G146" i="26"/>
  <c r="H144" i="26"/>
  <c r="G144" i="26"/>
  <c r="H143" i="26"/>
  <c r="G143" i="26"/>
  <c r="H141" i="26"/>
  <c r="G141" i="26"/>
  <c r="H139" i="26"/>
  <c r="G139" i="26"/>
  <c r="H136" i="26"/>
  <c r="G136" i="26"/>
  <c r="H133" i="26"/>
  <c r="G133" i="26"/>
  <c r="H132" i="26"/>
  <c r="G132" i="26"/>
  <c r="H131" i="26"/>
  <c r="G131" i="26"/>
  <c r="H129" i="26"/>
  <c r="G129" i="26"/>
  <c r="H128" i="26"/>
  <c r="G128" i="26"/>
  <c r="H123" i="26"/>
  <c r="G123" i="26"/>
  <c r="H122" i="26"/>
  <c r="G122" i="26"/>
  <c r="H120" i="26"/>
  <c r="G120" i="26"/>
  <c r="H119" i="26"/>
  <c r="G119" i="26"/>
  <c r="H118" i="26"/>
  <c r="G118" i="26"/>
  <c r="H116" i="26"/>
  <c r="G116" i="26"/>
  <c r="H115" i="26"/>
  <c r="G115" i="26"/>
  <c r="H114" i="26"/>
  <c r="G114" i="26"/>
  <c r="H113" i="26"/>
  <c r="G113" i="26"/>
  <c r="H112" i="26"/>
  <c r="G112" i="26"/>
  <c r="H93" i="26"/>
  <c r="G93" i="26"/>
  <c r="H90" i="26"/>
  <c r="G90" i="26"/>
  <c r="H89" i="26"/>
  <c r="G89" i="26"/>
  <c r="H88" i="26"/>
  <c r="G88" i="26"/>
  <c r="H87" i="26"/>
  <c r="G87" i="26"/>
  <c r="H86" i="26"/>
  <c r="G86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6" i="26"/>
  <c r="G66" i="26"/>
  <c r="H65" i="26"/>
  <c r="G65" i="26"/>
  <c r="H64" i="26"/>
  <c r="G64" i="26"/>
  <c r="H61" i="26"/>
  <c r="G61" i="26"/>
  <c r="H60" i="26"/>
  <c r="G60" i="26"/>
  <c r="H59" i="26"/>
  <c r="G59" i="26"/>
  <c r="H42" i="26"/>
  <c r="G42" i="26"/>
  <c r="H41" i="26"/>
  <c r="G41" i="26"/>
  <c r="H37" i="26"/>
  <c r="G37" i="26"/>
  <c r="H36" i="26"/>
  <c r="G36" i="26"/>
  <c r="H34" i="26"/>
  <c r="G34" i="26"/>
  <c r="H33" i="26"/>
  <c r="G33" i="26"/>
  <c r="H32" i="26"/>
  <c r="G32" i="26"/>
  <c r="H30" i="26"/>
  <c r="G30" i="26"/>
  <c r="H29" i="26"/>
  <c r="G29" i="26"/>
  <c r="H27" i="26"/>
  <c r="G27" i="26"/>
  <c r="H26" i="26"/>
  <c r="G26" i="26"/>
  <c r="H25" i="26"/>
  <c r="G25" i="26"/>
  <c r="H23" i="26"/>
  <c r="G23" i="26"/>
  <c r="H22" i="26"/>
  <c r="G22" i="26"/>
  <c r="H21" i="26"/>
  <c r="G21" i="26"/>
  <c r="H20" i="26"/>
  <c r="G20" i="26"/>
  <c r="H19" i="26"/>
  <c r="G19" i="26"/>
  <c r="H17" i="26"/>
  <c r="G17" i="26"/>
  <c r="H14" i="26"/>
  <c r="G14" i="26"/>
  <c r="H13" i="26"/>
  <c r="G13" i="26"/>
  <c r="H12" i="26"/>
  <c r="G12" i="26"/>
  <c r="H11" i="26"/>
  <c r="G11" i="26"/>
  <c r="M13" i="26"/>
  <c r="M33" i="26" s="1"/>
  <c r="D261" i="26" l="1"/>
  <c r="C94" i="14" l="1"/>
  <c r="D94" i="14"/>
  <c r="D85" i="14" l="1"/>
  <c r="E96" i="14" l="1"/>
  <c r="E94" i="14"/>
  <c r="E91" i="14" l="1"/>
  <c r="E95" i="14" s="1"/>
  <c r="F86" i="14"/>
  <c r="D95" i="14" l="1"/>
  <c r="C96" i="14"/>
  <c r="F87" i="14"/>
  <c r="F88" i="14"/>
  <c r="D91" i="14"/>
  <c r="F91" i="14" s="1"/>
  <c r="F95" i="14" s="1"/>
  <c r="D96" i="14"/>
  <c r="C85" i="14"/>
  <c r="C91" i="14"/>
  <c r="C95" i="14" s="1"/>
  <c r="E89" i="14"/>
  <c r="D89" i="14"/>
  <c r="C89" i="14"/>
  <c r="F66" i="14"/>
  <c r="D59" i="14"/>
  <c r="F59" i="14" s="1"/>
  <c r="E59" i="14"/>
  <c r="C59" i="14"/>
  <c r="C57" i="14"/>
  <c r="E55" i="14"/>
  <c r="D55" i="14"/>
  <c r="F55" i="14" s="1"/>
  <c r="C55" i="14"/>
  <c r="F46" i="14"/>
  <c r="F47" i="14"/>
  <c r="F48" i="14"/>
  <c r="F49" i="14"/>
  <c r="F45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2" i="14"/>
  <c r="F33" i="14"/>
  <c r="F34" i="14"/>
  <c r="F35" i="14"/>
  <c r="F37" i="14"/>
  <c r="F38" i="14"/>
  <c r="F40" i="14"/>
  <c r="F41" i="14"/>
  <c r="F10" i="14"/>
  <c r="F11" i="14"/>
  <c r="F12" i="14"/>
  <c r="F13" i="14"/>
  <c r="F14" i="14"/>
  <c r="F8" i="14"/>
  <c r="F92" i="14" l="1"/>
  <c r="F96" i="14" s="1"/>
  <c r="F90" i="14"/>
  <c r="F94" i="14" s="1"/>
  <c r="D23" i="22"/>
  <c r="E23" i="22"/>
  <c r="D12" i="22"/>
  <c r="D90" i="22" l="1"/>
  <c r="D73" i="22"/>
  <c r="D70" i="22"/>
  <c r="D43" i="22"/>
  <c r="D259" i="26" l="1"/>
  <c r="E259" i="26"/>
  <c r="E258" i="26" l="1"/>
  <c r="M14" i="26"/>
  <c r="M34" i="26" s="1"/>
  <c r="D258" i="26"/>
  <c r="D256" i="26" s="1"/>
  <c r="L14" i="26"/>
  <c r="L34" i="26" s="1"/>
  <c r="D105" i="26"/>
  <c r="F23" i="22" l="1"/>
  <c r="F12" i="22"/>
  <c r="F73" i="22"/>
  <c r="F70" i="22" l="1"/>
  <c r="F43" i="22"/>
  <c r="D10" i="24" l="1"/>
  <c r="F99" i="26"/>
  <c r="F121" i="26"/>
  <c r="F85" i="26"/>
  <c r="F130" i="26"/>
  <c r="H85" i="26" l="1"/>
  <c r="G85" i="26"/>
  <c r="H121" i="26"/>
  <c r="G121" i="26"/>
  <c r="F117" i="26"/>
  <c r="F51" i="26"/>
  <c r="F127" i="26"/>
  <c r="F50" i="26"/>
  <c r="F46" i="26" l="1"/>
  <c r="F45" i="26" s="1"/>
  <c r="H62" i="26"/>
  <c r="G62" i="26"/>
  <c r="F126" i="26"/>
  <c r="H63" i="26"/>
  <c r="G63" i="26"/>
  <c r="F16" i="26"/>
  <c r="F262" i="26"/>
  <c r="F260" i="26"/>
  <c r="H260" i="26" l="1"/>
  <c r="G260" i="26"/>
  <c r="N21" i="26"/>
  <c r="G262" i="26"/>
  <c r="H262" i="26"/>
  <c r="N12" i="26"/>
  <c r="N32" i="26" s="1"/>
  <c r="G15" i="26"/>
  <c r="H15" i="26"/>
  <c r="N13" i="26"/>
  <c r="N33" i="26" s="1"/>
  <c r="H16" i="26"/>
  <c r="G16" i="26"/>
  <c r="F124" i="26"/>
  <c r="F40" i="26"/>
  <c r="F38" i="26" l="1"/>
  <c r="H40" i="26"/>
  <c r="G40" i="26"/>
  <c r="D67" i="26"/>
  <c r="D24" i="26"/>
  <c r="D188" i="26"/>
  <c r="D187" i="26" s="1"/>
  <c r="H38" i="26" l="1"/>
  <c r="G38" i="26"/>
  <c r="D207" i="26"/>
  <c r="D214" i="26"/>
  <c r="D213" i="26" s="1"/>
  <c r="D198" i="26" l="1"/>
  <c r="D6" i="26" s="1"/>
  <c r="D157" i="26" l="1"/>
  <c r="E256" i="26"/>
  <c r="D254" i="26" l="1"/>
  <c r="D253" i="26" s="1"/>
  <c r="D251" i="26" s="1"/>
  <c r="D155" i="26" l="1"/>
  <c r="D242" i="26"/>
  <c r="D231" i="26"/>
  <c r="D224" i="26"/>
  <c r="E231" i="26"/>
  <c r="D181" i="26"/>
  <c r="L29" i="26" s="1"/>
  <c r="D223" i="26" l="1"/>
  <c r="D102" i="26"/>
  <c r="D95" i="26" s="1"/>
  <c r="D58" i="26"/>
  <c r="D57" i="26" s="1"/>
  <c r="D117" i="26"/>
  <c r="D111" i="26"/>
  <c r="E35" i="26" l="1"/>
  <c r="D37" i="26"/>
  <c r="L27" i="26" s="1"/>
  <c r="D36" i="26"/>
  <c r="L26" i="26" s="1"/>
  <c r="D191" i="26"/>
  <c r="D30" i="26"/>
  <c r="L20" i="26" s="1"/>
  <c r="L19" i="26"/>
  <c r="L13" i="26"/>
  <c r="D20" i="26"/>
  <c r="D12" i="26"/>
  <c r="L12" i="26"/>
  <c r="L33" i="26" l="1"/>
  <c r="L32" i="26"/>
  <c r="D190" i="26"/>
  <c r="D35" i="26"/>
  <c r="D18" i="26"/>
  <c r="C10" i="24"/>
  <c r="C6" i="24"/>
  <c r="D6" i="24"/>
  <c r="D185" i="26" l="1"/>
  <c r="F67" i="26" l="1"/>
  <c r="F24" i="26" l="1"/>
  <c r="G24" i="26" l="1"/>
  <c r="H24" i="26"/>
  <c r="F261" i="26"/>
  <c r="E199" i="26"/>
  <c r="F188" i="26"/>
  <c r="F187" i="26" s="1"/>
  <c r="F191" i="26"/>
  <c r="H261" i="26" l="1"/>
  <c r="G261" i="26"/>
  <c r="F190" i="26"/>
  <c r="F95" i="26"/>
  <c r="F185" i="26" l="1"/>
  <c r="F259" i="26"/>
  <c r="F201" i="26"/>
  <c r="N11" i="26" s="1"/>
  <c r="F207" i="26"/>
  <c r="F196" i="26"/>
  <c r="F195" i="26" l="1"/>
  <c r="G196" i="26"/>
  <c r="H196" i="26"/>
  <c r="H207" i="26"/>
  <c r="G207" i="26"/>
  <c r="G259" i="26"/>
  <c r="H259" i="26"/>
  <c r="F258" i="26"/>
  <c r="N14" i="26"/>
  <c r="N34" i="26" s="1"/>
  <c r="F57" i="26"/>
  <c r="F200" i="26"/>
  <c r="F193" i="26" l="1"/>
  <c r="H195" i="26"/>
  <c r="G195" i="26"/>
  <c r="F198" i="26"/>
  <c r="F256" i="26"/>
  <c r="H258" i="26"/>
  <c r="G258" i="26"/>
  <c r="F242" i="26"/>
  <c r="E242" i="26"/>
  <c r="D239" i="26"/>
  <c r="D238" i="26" s="1"/>
  <c r="D221" i="26" s="1"/>
  <c r="E239" i="26"/>
  <c r="F239" i="26"/>
  <c r="H193" i="26" l="1"/>
  <c r="G193" i="26"/>
  <c r="H239" i="26"/>
  <c r="G239" i="26"/>
  <c r="H242" i="26"/>
  <c r="G242" i="26"/>
  <c r="G256" i="26"/>
  <c r="H256" i="26"/>
  <c r="F238" i="26"/>
  <c r="E238" i="26"/>
  <c r="F231" i="26"/>
  <c r="E224" i="26"/>
  <c r="E223" i="26" s="1"/>
  <c r="E221" i="26" s="1"/>
  <c r="F224" i="26"/>
  <c r="H231" i="26" l="1"/>
  <c r="G231" i="26"/>
  <c r="G238" i="26"/>
  <c r="H238" i="26"/>
  <c r="H224" i="26"/>
  <c r="G224" i="26"/>
  <c r="F223" i="26"/>
  <c r="F157" i="26"/>
  <c r="F221" i="26" l="1"/>
  <c r="H223" i="26"/>
  <c r="G223" i="26"/>
  <c r="K13" i="9"/>
  <c r="I13" i="9"/>
  <c r="G13" i="9"/>
  <c r="F13" i="9"/>
  <c r="E13" i="9"/>
  <c r="L7" i="9"/>
  <c r="L9" i="9"/>
  <c r="J11" i="9"/>
  <c r="J13" i="9" s="1"/>
  <c r="N13" i="9" s="1"/>
  <c r="E25" i="24"/>
  <c r="C5" i="24"/>
  <c r="D5" i="24"/>
  <c r="H221" i="26" l="1"/>
  <c r="G221" i="26"/>
  <c r="L13" i="9"/>
  <c r="E6" i="24"/>
  <c r="E5" i="24" s="1"/>
  <c r="E10" i="24"/>
  <c r="F35" i="26" l="1"/>
  <c r="F31" i="26"/>
  <c r="F18" i="26"/>
  <c r="F90" i="22" l="1"/>
  <c r="E90" i="22"/>
  <c r="E73" i="22"/>
  <c r="E70" i="22"/>
  <c r="E43" i="22"/>
  <c r="D31" i="22"/>
  <c r="E31" i="22"/>
  <c r="F31" i="22"/>
  <c r="E7" i="22"/>
  <c r="D21" i="22"/>
  <c r="E21" i="22"/>
  <c r="F21" i="22"/>
  <c r="E12" i="22"/>
  <c r="D7" i="22"/>
  <c r="F7" i="22"/>
  <c r="N5" i="9"/>
  <c r="M5" i="9"/>
  <c r="L5" i="9"/>
  <c r="K5" i="9"/>
  <c r="J5" i="9"/>
  <c r="I5" i="9"/>
  <c r="H5" i="9"/>
  <c r="G5" i="9"/>
  <c r="E191" i="26"/>
  <c r="E188" i="26"/>
  <c r="E187" i="26" s="1"/>
  <c r="D176" i="26"/>
  <c r="L15" i="26" s="1"/>
  <c r="F176" i="26"/>
  <c r="N15" i="26" s="1"/>
  <c r="D180" i="26"/>
  <c r="D178" i="26" s="1"/>
  <c r="F181" i="26"/>
  <c r="E181" i="26"/>
  <c r="E180" i="26" s="1"/>
  <c r="E178" i="26" s="1"/>
  <c r="E176" i="26"/>
  <c r="F180" i="26" l="1"/>
  <c r="H181" i="26"/>
  <c r="G181" i="26"/>
  <c r="F175" i="26"/>
  <c r="H176" i="26"/>
  <c r="G176" i="26"/>
  <c r="E175" i="26"/>
  <c r="E190" i="26"/>
  <c r="H190" i="26" s="1"/>
  <c r="D6" i="22"/>
  <c r="F6" i="22"/>
  <c r="D175" i="26"/>
  <c r="E185" i="26"/>
  <c r="E6" i="22"/>
  <c r="E157" i="26"/>
  <c r="D163" i="26"/>
  <c r="D162" i="26" s="1"/>
  <c r="F163" i="26"/>
  <c r="E163" i="26"/>
  <c r="E162" i="26" s="1"/>
  <c r="D148" i="26"/>
  <c r="D147" i="26" s="1"/>
  <c r="F148" i="26"/>
  <c r="E148" i="26"/>
  <c r="E147" i="26" s="1"/>
  <c r="E142" i="26"/>
  <c r="E135" i="26"/>
  <c r="E138" i="26"/>
  <c r="E130" i="26"/>
  <c r="E127" i="26"/>
  <c r="D110" i="26"/>
  <c r="D108" i="26" s="1"/>
  <c r="F111" i="26"/>
  <c r="E111" i="26"/>
  <c r="E117" i="26"/>
  <c r="G188" i="26"/>
  <c r="H188" i="26"/>
  <c r="G189" i="26"/>
  <c r="H189" i="26"/>
  <c r="G191" i="26"/>
  <c r="H191" i="26"/>
  <c r="G192" i="26"/>
  <c r="H192" i="26"/>
  <c r="G198" i="26"/>
  <c r="H198" i="26"/>
  <c r="E67" i="26"/>
  <c r="D92" i="26"/>
  <c r="L18" i="26" s="1"/>
  <c r="F92" i="26"/>
  <c r="E92" i="26"/>
  <c r="M18" i="26" s="1"/>
  <c r="D10" i="26"/>
  <c r="L11" i="26" s="1"/>
  <c r="F10" i="26"/>
  <c r="D31" i="26"/>
  <c r="F28" i="26"/>
  <c r="E31" i="26"/>
  <c r="E18" i="26"/>
  <c r="M15" i="26" s="1"/>
  <c r="E10" i="26"/>
  <c r="G190" i="26" l="1"/>
  <c r="M31" i="26"/>
  <c r="G67" i="26"/>
  <c r="H67" i="26"/>
  <c r="H130" i="26"/>
  <c r="G130" i="26"/>
  <c r="H117" i="26"/>
  <c r="G117" i="26"/>
  <c r="H58" i="26"/>
  <c r="G58" i="26"/>
  <c r="E134" i="26"/>
  <c r="G135" i="26"/>
  <c r="H135" i="26"/>
  <c r="H163" i="26"/>
  <c r="G163" i="26"/>
  <c r="N22" i="26"/>
  <c r="E137" i="26"/>
  <c r="H138" i="26"/>
  <c r="G138" i="26"/>
  <c r="E140" i="26"/>
  <c r="H142" i="26"/>
  <c r="G142" i="26"/>
  <c r="N18" i="26"/>
  <c r="N31" i="26" s="1"/>
  <c r="H92" i="26"/>
  <c r="G92" i="26"/>
  <c r="F178" i="26"/>
  <c r="H180" i="26"/>
  <c r="G180" i="26"/>
  <c r="H10" i="26"/>
  <c r="G10" i="26"/>
  <c r="D9" i="26"/>
  <c r="L31" i="26"/>
  <c r="H18" i="26"/>
  <c r="G18" i="26"/>
  <c r="H31" i="26"/>
  <c r="G31" i="26"/>
  <c r="H111" i="26"/>
  <c r="G111" i="26"/>
  <c r="H157" i="26"/>
  <c r="G157" i="26"/>
  <c r="L22" i="26"/>
  <c r="L35" i="26" s="1"/>
  <c r="H127" i="26"/>
  <c r="G127" i="26"/>
  <c r="F147" i="26"/>
  <c r="H148" i="26"/>
  <c r="G148" i="26"/>
  <c r="E173" i="26"/>
  <c r="H185" i="26"/>
  <c r="G185" i="26"/>
  <c r="D173" i="26"/>
  <c r="F173" i="26"/>
  <c r="H175" i="26"/>
  <c r="G175" i="26"/>
  <c r="D145" i="26"/>
  <c r="F162" i="26"/>
  <c r="F110" i="26"/>
  <c r="E28" i="26"/>
  <c r="D28" i="26"/>
  <c r="F9" i="26"/>
  <c r="N10" i="26" s="1"/>
  <c r="E145" i="26"/>
  <c r="E126" i="26"/>
  <c r="E110" i="26"/>
  <c r="E108" i="26" s="1"/>
  <c r="H140" i="26" l="1"/>
  <c r="G140" i="26"/>
  <c r="E124" i="26"/>
  <c r="G126" i="26"/>
  <c r="H126" i="26"/>
  <c r="F145" i="26"/>
  <c r="H162" i="26"/>
  <c r="G162" i="26"/>
  <c r="G178" i="26"/>
  <c r="H178" i="26"/>
  <c r="H137" i="26"/>
  <c r="G137" i="26"/>
  <c r="F108" i="26"/>
  <c r="H110" i="26"/>
  <c r="G110" i="26"/>
  <c r="H147" i="26"/>
  <c r="G147" i="26"/>
  <c r="D7" i="26"/>
  <c r="L36" i="26"/>
  <c r="H134" i="26"/>
  <c r="G134" i="26"/>
  <c r="H173" i="26"/>
  <c r="G173" i="26"/>
  <c r="F7" i="26"/>
  <c r="F6" i="26" s="1"/>
  <c r="E7" i="26"/>
  <c r="H145" i="26" l="1"/>
  <c r="G145" i="26"/>
  <c r="G124" i="26"/>
  <c r="H124" i="26"/>
  <c r="F89" i="14"/>
  <c r="C25" i="14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C81" i="14"/>
  <c r="C93" i="14" s="1"/>
  <c r="D81" i="14"/>
  <c r="D93" i="14" s="1"/>
  <c r="E81" i="14"/>
  <c r="E93" i="14" s="1"/>
  <c r="F81" i="14"/>
  <c r="E85" i="14"/>
  <c r="F85" i="14"/>
  <c r="F93" i="14" l="1"/>
  <c r="H50" i="14"/>
  <c r="G50" i="14"/>
  <c r="G6" i="24"/>
  <c r="G10" i="24"/>
  <c r="G24" i="24"/>
  <c r="G25" i="24"/>
  <c r="G26" i="24"/>
  <c r="G27" i="24"/>
  <c r="H7" i="22" l="1"/>
  <c r="G7" i="22"/>
  <c r="H73" i="14" l="1"/>
  <c r="G73" i="14"/>
  <c r="N7" i="9" l="1"/>
  <c r="N8" i="9"/>
  <c r="N9" i="9"/>
  <c r="N10" i="9"/>
  <c r="N11" i="9"/>
  <c r="M7" i="9"/>
  <c r="M8" i="9"/>
  <c r="M9" i="9"/>
  <c r="M10" i="9"/>
  <c r="M11" i="9"/>
  <c r="M12" i="9"/>
  <c r="F6" i="24"/>
  <c r="F10" i="24"/>
  <c r="F24" i="24"/>
  <c r="F25" i="24"/>
  <c r="F26" i="24"/>
  <c r="H9" i="26"/>
  <c r="H28" i="26"/>
  <c r="H35" i="26"/>
  <c r="H57" i="26"/>
  <c r="H94" i="26"/>
  <c r="H96" i="26"/>
  <c r="H98" i="26"/>
  <c r="H99" i="26"/>
  <c r="H103" i="26"/>
  <c r="H106" i="26"/>
  <c r="H107" i="26"/>
  <c r="H201" i="26"/>
  <c r="G9" i="26"/>
  <c r="G28" i="26"/>
  <c r="G35" i="26"/>
  <c r="G57" i="26"/>
  <c r="G94" i="26"/>
  <c r="G96" i="26"/>
  <c r="G98" i="26"/>
  <c r="G99" i="26"/>
  <c r="G103" i="26"/>
  <c r="G106" i="26"/>
  <c r="G107" i="26"/>
  <c r="G201" i="26"/>
  <c r="H12" i="22"/>
  <c r="G12" i="22"/>
  <c r="H21" i="22"/>
  <c r="G21" i="22"/>
  <c r="H23" i="22"/>
  <c r="G23" i="22"/>
  <c r="H11" i="22"/>
  <c r="H22" i="22"/>
  <c r="H28" i="22"/>
  <c r="H31" i="22"/>
  <c r="H41" i="22"/>
  <c r="H43" i="22"/>
  <c r="H51" i="22"/>
  <c r="H70" i="22"/>
  <c r="H73" i="22"/>
  <c r="H90" i="22"/>
  <c r="G11" i="22"/>
  <c r="G22" i="22"/>
  <c r="G28" i="22"/>
  <c r="G31" i="22"/>
  <c r="G41" i="22"/>
  <c r="G43" i="22"/>
  <c r="G51" i="22"/>
  <c r="G70" i="22"/>
  <c r="G73" i="22"/>
  <c r="G90" i="22"/>
  <c r="D91" i="26" l="1"/>
  <c r="L17" i="26" s="1"/>
  <c r="D104" i="26"/>
  <c r="L24" i="26" s="1"/>
  <c r="F105" i="26"/>
  <c r="N29" i="26" s="1"/>
  <c r="N35" i="26" s="1"/>
  <c r="N36" i="26" s="1"/>
  <c r="E105" i="26"/>
  <c r="M29" i="26" s="1"/>
  <c r="H199" i="26"/>
  <c r="E95" i="26"/>
  <c r="M22" i="26" s="1"/>
  <c r="M35" i="26" s="1"/>
  <c r="M36" i="26" s="1"/>
  <c r="H7" i="26"/>
  <c r="G5" i="24"/>
  <c r="M13" i="9"/>
  <c r="P11" i="9"/>
  <c r="P10" i="9"/>
  <c r="P7" i="9"/>
  <c r="P12" i="9"/>
  <c r="P8" i="9"/>
  <c r="O11" i="9"/>
  <c r="O10" i="9"/>
  <c r="G7" i="26"/>
  <c r="P9" i="9"/>
  <c r="O12" i="9"/>
  <c r="O8" i="9"/>
  <c r="O7" i="9"/>
  <c r="O9" i="9"/>
  <c r="F5" i="24"/>
  <c r="L9" i="26" l="1"/>
  <c r="D55" i="26"/>
  <c r="G105" i="26"/>
  <c r="E104" i="26"/>
  <c r="M24" i="26" s="1"/>
  <c r="F91" i="26"/>
  <c r="F104" i="26"/>
  <c r="N24" i="26" s="1"/>
  <c r="H105" i="26"/>
  <c r="E91" i="26"/>
  <c r="M17" i="26" s="1"/>
  <c r="H95" i="26"/>
  <c r="G95" i="26"/>
  <c r="O13" i="9"/>
  <c r="H71" i="14"/>
  <c r="H74" i="14"/>
  <c r="H75" i="14"/>
  <c r="H76" i="14"/>
  <c r="H77" i="14"/>
  <c r="G71" i="14"/>
  <c r="G74" i="14"/>
  <c r="G75" i="14"/>
  <c r="G76" i="14"/>
  <c r="G77" i="14"/>
  <c r="H53" i="14"/>
  <c r="H54" i="14"/>
  <c r="H55" i="14"/>
  <c r="H56" i="14"/>
  <c r="H58" i="14"/>
  <c r="H60" i="14"/>
  <c r="H61" i="14"/>
  <c r="H62" i="14"/>
  <c r="H63" i="14"/>
  <c r="H65" i="14"/>
  <c r="H66" i="14"/>
  <c r="H67" i="14"/>
  <c r="G53" i="14"/>
  <c r="G54" i="14"/>
  <c r="G55" i="14"/>
  <c r="G56" i="14"/>
  <c r="G58" i="14"/>
  <c r="G60" i="14"/>
  <c r="G61" i="14"/>
  <c r="G62" i="14"/>
  <c r="G63" i="14"/>
  <c r="G65" i="14"/>
  <c r="G66" i="14"/>
  <c r="G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4" i="14"/>
  <c r="H35" i="14"/>
  <c r="H37" i="14"/>
  <c r="H38" i="14"/>
  <c r="H40" i="14"/>
  <c r="H41" i="14"/>
  <c r="M9" i="26" l="1"/>
  <c r="H91" i="26"/>
  <c r="G91" i="26"/>
  <c r="N17" i="26"/>
  <c r="N9" i="26" s="1"/>
  <c r="E55" i="26"/>
  <c r="E6" i="26" s="1"/>
  <c r="F55" i="26"/>
  <c r="H8" i="14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8" i="14"/>
  <c r="G55" i="26" l="1"/>
  <c r="H55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D42" i="14" l="1"/>
  <c r="F42" i="14" s="1"/>
  <c r="F22" i="14"/>
  <c r="H22" i="14" s="1"/>
  <c r="G64" i="14"/>
  <c r="H64" i="14"/>
  <c r="G57" i="14"/>
  <c r="H57" i="14"/>
  <c r="G52" i="14"/>
  <c r="H52" i="14"/>
  <c r="G22" i="14"/>
  <c r="C68" i="14"/>
  <c r="E68" i="14"/>
  <c r="D68" i="14"/>
  <c r="F68" i="14"/>
  <c r="D25" i="14"/>
  <c r="D16" i="14"/>
  <c r="F16" i="14" s="1"/>
  <c r="E16" i="14"/>
  <c r="C16" i="14"/>
  <c r="D9" i="14"/>
  <c r="F9" i="14" s="1"/>
  <c r="E9" i="14"/>
  <c r="C9" i="14"/>
  <c r="F25" i="14" l="1"/>
  <c r="D31" i="14"/>
  <c r="D36" i="14" s="1"/>
  <c r="C43" i="14"/>
  <c r="D43" i="14"/>
  <c r="F43" i="14" s="1"/>
  <c r="E15" i="14"/>
  <c r="E43" i="14"/>
  <c r="G42" i="14"/>
  <c r="H42" i="14"/>
  <c r="H9" i="14"/>
  <c r="H16" i="14"/>
  <c r="G68" i="14"/>
  <c r="H68" i="14"/>
  <c r="G9" i="14"/>
  <c r="G16" i="14"/>
  <c r="H25" i="14" l="1"/>
  <c r="G25" i="14"/>
  <c r="E36" i="14"/>
  <c r="G43" i="14"/>
  <c r="H43" i="14"/>
  <c r="E39" i="14" l="1"/>
  <c r="F31" i="14" l="1"/>
  <c r="F15" i="14"/>
  <c r="C15" i="14"/>
  <c r="D39" i="14" l="1"/>
  <c r="F39" i="14" s="1"/>
  <c r="G15" i="14"/>
  <c r="H15" i="14"/>
  <c r="H31" i="14"/>
  <c r="G31" i="14"/>
  <c r="C31" i="14"/>
  <c r="C39" i="14" s="1"/>
  <c r="F36" i="14" l="1"/>
  <c r="H36" i="14" s="1"/>
  <c r="H39" i="14"/>
  <c r="G39" i="14"/>
  <c r="G36" i="14" l="1"/>
</calcChain>
</file>

<file path=xl/sharedStrings.xml><?xml version="1.0" encoding="utf-8"?>
<sst xmlns="http://schemas.openxmlformats.org/spreadsheetml/2006/main" count="774" uniqueCount="381">
  <si>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</si>
  <si>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</si>
  <si>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</si>
  <si>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</si>
  <si>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</si>
  <si>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</si>
  <si>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</si>
  <si>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</si>
  <si>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</si>
  <si>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</si>
  <si>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</si>
  <si>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</si>
  <si>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</si>
  <si>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</si>
  <si>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</si>
  <si>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</si>
  <si>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</si>
  <si>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</si>
  <si>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</si>
  <si>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</si>
  <si>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</si>
  <si>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</si>
  <si>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</si>
  <si>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</si>
  <si>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</si>
  <si>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</si>
  <si>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</si>
  <si>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</si>
  <si>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</si>
  <si>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</si>
  <si>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</si>
  <si>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</si>
  <si>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</si>
  <si>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</si>
  <si>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</si>
  <si>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</si>
  <si>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</si>
  <si>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</si>
  <si>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</si>
  <si>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</si>
  <si>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</si>
  <si>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</si>
  <si>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</si>
  <si>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</si>
  <si>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</si>
  <si>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</si>
  <si>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</si>
  <si>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</si>
  <si>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</si>
  <si>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</si>
  <si>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</si>
  <si>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</si>
  <si>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</si>
  <si>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</si>
  <si>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</si>
  <si>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</si>
  <si>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</si>
  <si>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</si>
  <si>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</si>
  <si>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</si>
  <si>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</si>
  <si>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</si>
  <si>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</si>
  <si>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</si>
  <si>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</si>
  <si>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</si>
  <si>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</si>
  <si>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</si>
  <si>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</si>
  <si>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</si>
  <si>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</si>
  <si>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</si>
  <si>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</si>
  <si>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</si>
  <si>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</si>
  <si>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</si>
  <si>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</si>
  <si>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</si>
  <si>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</si>
  <si>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</si>
  <si>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</si>
  <si>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</si>
  <si>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</si>
  <si>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</si>
  <si>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</si>
  <si>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</si>
  <si>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</si>
  <si>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</si>
  <si>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</si>
  <si>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</si>
  <si>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</si>
  <si>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</si>
  <si>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</si>
  <si>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</si>
  <si>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</si>
  <si>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</si>
  <si>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</si>
  <si>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</si>
  <si>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Капітальний ремонт,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</si>
  <si>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</si>
  <si>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</si>
  <si>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</si>
  <si>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</si>
  <si>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</si>
  <si>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</si>
  <si>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</si>
  <si>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</si>
  <si>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</si>
  <si>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</si>
  <si>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</si>
  <si>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4.2</t>
  </si>
  <si>
    <t>4.3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</si>
  <si>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</si>
  <si>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</si>
  <si>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</si>
  <si>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</si>
  <si>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</si>
  <si>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</si>
  <si>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</si>
  <si>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</si>
  <si>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</si>
  <si>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</si>
  <si>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</si>
  <si>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</si>
  <si>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</si>
  <si>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</si>
  <si>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</si>
  <si>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</si>
  <si>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</si>
  <si>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</si>
  <si>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</si>
  <si>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</si>
  <si>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</si>
  <si>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</si>
  <si>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</si>
  <si>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</si>
  <si>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</si>
  <si>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</si>
  <si>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</si>
  <si>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</si>
  <si>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Бюджетне фінансування</t>
  </si>
  <si>
    <t>Власні кошти</t>
  </si>
  <si>
    <t>Інші джерела (розшифрувати)</t>
  </si>
  <si>
    <t>Усього:</t>
  </si>
  <si>
    <t xml:space="preserve">Нараховані до сплати податки та збори до Державного бюджету України (податкові платежі) </t>
  </si>
  <si>
    <t>План 
на І квартал  2022 року</t>
  </si>
  <si>
    <t>Факт                   за І квартал 2021 року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</si>
  <si>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</si>
  <si>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</si>
  <si>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</si>
  <si>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</si>
  <si>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</si>
  <si>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</si>
  <si>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</si>
  <si>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</si>
  <si>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</si>
  <si>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</si>
  <si>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</si>
  <si>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</si>
  <si>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</si>
  <si>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</si>
  <si>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</si>
  <si>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</si>
  <si>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</si>
  <si>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</si>
  <si>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</si>
  <si>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</si>
  <si>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</si>
  <si>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</si>
  <si>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>супровід програмного забезпечення, медіа-супровід, обслуговування сайту, кваліфікований електронний підпис</t>
  </si>
  <si>
    <t xml:space="preserve">охоронна сигналізація </t>
  </si>
  <si>
    <t>1.3.2</t>
  </si>
  <si>
    <t>1.3.3</t>
  </si>
  <si>
    <t>Факт 
за І квартал 2022 року</t>
  </si>
  <si>
    <t>2.1.1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</si>
  <si>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</si>
  <si>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</si>
  <si>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2.1.3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</si>
  <si>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</si>
  <si>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</si>
  <si>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</si>
  <si>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</si>
  <si>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</si>
  <si>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>страхування цивільної відповідальності власників транспортних засобів</t>
  </si>
  <si>
    <t>утилізація, дезінфекція, дезінсекція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</si>
  <si>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</si>
  <si>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</si>
  <si>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</si>
  <si>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</si>
  <si>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</si>
  <si>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</si>
  <si>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</si>
  <si>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>пільгова пенсія</t>
  </si>
  <si>
    <t xml:space="preserve">За рахунок коштів отриманих від реалізації продукції молочної кухні </t>
  </si>
  <si>
    <t>3.1.1</t>
  </si>
  <si>
    <t>паливно-мастильні матеріали</t>
  </si>
  <si>
    <t>Інші витрати, у сього, у т.ч.:</t>
  </si>
  <si>
    <t>ремонт та технічне обслуговування немедичного обладнання</t>
  </si>
  <si>
    <t>страхування цивільно-правової відповідальності власників транспортних засобів</t>
  </si>
  <si>
    <t>4.1.1</t>
  </si>
  <si>
    <t>4.1.5</t>
  </si>
  <si>
    <t>Інші  витрати, усього, у т.ч.:</t>
  </si>
  <si>
    <t>4.2.5</t>
  </si>
  <si>
    <t>Інші операційні витрати, усього, в т.ч.:</t>
  </si>
  <si>
    <t>податок на додану вартість</t>
  </si>
  <si>
    <t>7.</t>
  </si>
  <si>
    <t>7.1</t>
  </si>
  <si>
    <t>7.1.2</t>
  </si>
  <si>
    <t>7.1.3</t>
  </si>
  <si>
    <t>8.</t>
  </si>
  <si>
    <t>8.1</t>
  </si>
  <si>
    <t>8.1.1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</si>
  <si>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</si>
  <si>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</si>
  <si>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CoV, предмети матеріали обладнання (в т.ч. медичного) та інвентарю</t>
  </si>
  <si>
    <t>медикаменти та перв'язувальні матеріали</t>
  </si>
  <si>
    <t>програма "СТОП ГРИП"</t>
  </si>
  <si>
    <t xml:space="preserve">хімреактиви, реагенти, тощо </t>
  </si>
  <si>
    <t>8.1.2</t>
  </si>
  <si>
    <t>8.1.3</t>
  </si>
  <si>
    <t>8.1.5</t>
  </si>
  <si>
    <t xml:space="preserve">оплата електроенергії </t>
  </si>
  <si>
    <t>8.2</t>
  </si>
  <si>
    <t>8.2.5</t>
  </si>
  <si>
    <t xml:space="preserve">вивіз  сміття </t>
  </si>
  <si>
    <t>9.</t>
  </si>
  <si>
    <t>Кошти, отримані від реалізації в установленому порядку майна (крім нерухомого майна)</t>
  </si>
  <si>
    <t>10.</t>
  </si>
  <si>
    <t>Кошти орендарів (енергоносії)</t>
  </si>
  <si>
    <t>10.1</t>
  </si>
  <si>
    <t>10.1.1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</si>
  <si>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</si>
  <si>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</si>
  <si>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</si>
  <si>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</si>
  <si>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план 
на І квартал 2022 року</t>
  </si>
  <si>
    <t>факт 
за І квартал 2022 року</t>
  </si>
  <si>
    <t>за І квартал 2022 року</t>
  </si>
  <si>
    <t>Звітний за І квартал 2022 року</t>
  </si>
  <si>
    <t>за І квартал 2021 року</t>
  </si>
  <si>
    <t>План 
на І квартал 2022 року</t>
  </si>
  <si>
    <t>кошти державного бюджету від Національної служби здоров'я України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</si>
  <si>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</si>
  <si>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</si>
  <si>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r>
      <t xml:space="preserve">кошти державного бюджету </t>
    </r>
    <r>
      <rPr>
        <i/>
        <sz val="14"/>
        <rFont val="Times New Roman"/>
        <family val="1"/>
        <charset val="204"/>
      </rPr>
      <t>(відшкодування лікарям-інтернам за проходження інтернатури</t>
    </r>
    <r>
      <rPr>
        <sz val="14"/>
        <rFont val="Times New Roman"/>
        <family val="1"/>
        <charset val="204"/>
      </rPr>
      <t>)</t>
    </r>
  </si>
  <si>
    <t>кошти, отримані від реалізації в установленому порядку майна (крім нерухомого майна)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</si>
  <si>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</si>
  <si>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</si>
  <si>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</si>
  <si>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</si>
  <si>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</si>
  <si>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</si>
  <si>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</si>
  <si>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</si>
  <si>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</si>
  <si>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ремонт та технінче обслуговування ПК та оргтехніки</t>
  </si>
  <si>
    <t>ПДВ</t>
  </si>
  <si>
    <t xml:space="preserve">пільгова пенсія </t>
  </si>
  <si>
    <t xml:space="preserve">Холодильна шафа ХШВ Shine (2 шт)                  </t>
  </si>
  <si>
    <t xml:space="preserve">Генератор Covidian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</si>
  <si>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Маяковського, 138</t>
  </si>
  <si>
    <t xml:space="preserve">Холодильна шафа ХШВ Shine (2 шт)        </t>
  </si>
  <si>
    <t>12.</t>
  </si>
  <si>
    <t>Благодійна допомога в натуральній формі</t>
  </si>
  <si>
    <t>12.1</t>
  </si>
  <si>
    <t>12.1.1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</si>
  <si>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</si>
  <si>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</si>
  <si>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>13.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</si>
  <si>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</si>
  <si>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</si>
  <si>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 xml:space="preserve">ремонт та технічне облсуговування ліфтів </t>
  </si>
  <si>
    <t xml:space="preserve">пенсія </t>
  </si>
  <si>
    <t xml:space="preserve">послуги  з навчання 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</si>
  <si>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</si>
  <si>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</si>
  <si>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</si>
  <si>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металобрухт</t>
  </si>
  <si>
    <t>5.</t>
  </si>
  <si>
    <t xml:space="preserve"> </t>
  </si>
  <si>
    <t>відшкодування коштів (згідно акту за результатами ревізії, та акту звірки)</t>
  </si>
  <si>
    <t>Кошти бюджету ВМТГ</t>
  </si>
  <si>
    <t>інформаційно-консультаційні послуги</t>
  </si>
  <si>
    <t xml:space="preserve">Шафа         </t>
  </si>
  <si>
    <t xml:space="preserve">Вертикальний підйомник для інвалідів та інших мало мобільних груп населення    </t>
  </si>
  <si>
    <t>Вентилятор побутовий 100С1, 94м3/год Домовент(2шт)</t>
  </si>
  <si>
    <t>Гігрометр ВІТ-Ш-2(+16+40С)ТУ З України 14307481.001-92 УКТЗЕД 9025808010(5 шт)</t>
  </si>
  <si>
    <t xml:space="preserve">Вогнегасник ВП-5                                      </t>
  </si>
  <si>
    <t xml:space="preserve">Детектор індивідуального моніторингу ДТГ-4 (ДТУ) (3 шт)       </t>
  </si>
  <si>
    <t>Бактерицидна лампа Bactosfera OBB 15</t>
  </si>
  <si>
    <t xml:space="preserve">Компресорний небулайзер      </t>
  </si>
  <si>
    <t>Тонометр педіатричний з трьома манжетами Little Doctor LD 80</t>
  </si>
  <si>
    <t xml:space="preserve">Ваги електронні для новонароджених Momert 6475    </t>
  </si>
  <si>
    <t xml:space="preserve">Пральна машина Indesit IWUC 40851   </t>
  </si>
  <si>
    <t>Комплект: тумба з умивальником, дзеркало</t>
  </si>
  <si>
    <t xml:space="preserve">Відбійник  </t>
  </si>
  <si>
    <t>Кондиціонер Electrolux EACS-09HC/N3/Eu</t>
  </si>
  <si>
    <t xml:space="preserve">Кондиціонер ROTEX  </t>
  </si>
  <si>
    <t>паливно-мастильні метеріали</t>
  </si>
  <si>
    <t xml:space="preserve">науково-технічні роботи </t>
  </si>
  <si>
    <t xml:space="preserve">оцінка майна </t>
  </si>
  <si>
    <t xml:space="preserve">ремонт та технічне обслуговування авто </t>
  </si>
  <si>
    <t xml:space="preserve">послуги з навчання </t>
  </si>
  <si>
    <t xml:space="preserve">податки </t>
  </si>
  <si>
    <t>публікація в газеті</t>
  </si>
  <si>
    <t>Дохід від курсової різниці на залишок коштів валютного рахунку</t>
  </si>
  <si>
    <t>курсова різниця</t>
  </si>
  <si>
    <t xml:space="preserve">лікарняні листи </t>
  </si>
  <si>
    <t>Кошти державного бюджету від Національної служби здоров'я України за рахунок залишку коштів на рахунок</t>
  </si>
  <si>
    <t>Кошти від надання послуг з медичної діяльності, відшкодування від страхової компанії</t>
  </si>
  <si>
    <t>пенсія</t>
  </si>
  <si>
    <t xml:space="preserve">публікація в газеті </t>
  </si>
  <si>
    <t xml:space="preserve">курсова різниця </t>
  </si>
  <si>
    <t>кошти від надання послуг з  медичної діяльності, відшкодування від страхової компанії</t>
  </si>
  <si>
    <t>дохід від оприбуткування вторсировини (металобрухт, медичних відходів)</t>
  </si>
  <si>
    <t>Дохід від оприбуткування вторсировини (металобрухт, медичних відходів)</t>
  </si>
  <si>
    <t>профвнески</t>
  </si>
  <si>
    <t>Директор КНП "ВМКЛ"ЦМтаД"</t>
  </si>
  <si>
    <t>Кошти бюджету ВМТГ (залишки минулих періодів)</t>
  </si>
  <si>
    <t>Благодійна допомога в натуральній формі (залишки запасів минулих періодів)</t>
  </si>
  <si>
    <r>
      <t>Кошти державного бюджету (</t>
    </r>
    <r>
      <rPr>
        <b/>
        <i/>
        <sz val="14"/>
        <rFont val="Times New Roman"/>
        <family val="1"/>
        <charset val="204"/>
      </rPr>
      <t>відшкодування лікарям-інтернам за проходження інтернатури)</t>
    </r>
  </si>
  <si>
    <t>3.1.4</t>
  </si>
  <si>
    <t>4.1.2</t>
  </si>
  <si>
    <t>4.1.3</t>
  </si>
  <si>
    <t>4.1.4</t>
  </si>
  <si>
    <t>4.2.1</t>
  </si>
  <si>
    <t>4.3.1</t>
  </si>
  <si>
    <t>5.1</t>
  </si>
  <si>
    <t>5.1.1</t>
  </si>
  <si>
    <t>5.1.2</t>
  </si>
  <si>
    <t>5.1.3</t>
  </si>
  <si>
    <t>5.1.4</t>
  </si>
  <si>
    <t>6.</t>
  </si>
  <si>
    <t>6.1</t>
  </si>
  <si>
    <t>6.1.1</t>
  </si>
  <si>
    <t>6.12</t>
  </si>
  <si>
    <t>6.2</t>
  </si>
  <si>
    <t>6.2.1</t>
  </si>
  <si>
    <t>6.3</t>
  </si>
  <si>
    <t>6.3.1</t>
  </si>
  <si>
    <t>9.1</t>
  </si>
  <si>
    <t>9.1.1</t>
  </si>
  <si>
    <t>11.</t>
  </si>
  <si>
    <t>11.1</t>
  </si>
  <si>
    <t>11.1.1</t>
  </si>
  <si>
    <t>13.1</t>
  </si>
  <si>
    <t>13.1.1</t>
  </si>
  <si>
    <t>12.2</t>
  </si>
  <si>
    <t>12.2.1</t>
  </si>
  <si>
    <t>14.</t>
  </si>
  <si>
    <t>14.1</t>
  </si>
  <si>
    <t>14.1.1</t>
  </si>
  <si>
    <t>14.1.2</t>
  </si>
  <si>
    <t>14.2</t>
  </si>
  <si>
    <t>14.2.1</t>
  </si>
  <si>
    <t>15.</t>
  </si>
  <si>
    <t>15.1</t>
  </si>
  <si>
    <t>15.1.1</t>
  </si>
  <si>
    <t>16.</t>
  </si>
  <si>
    <t>16.1</t>
  </si>
  <si>
    <t>16.1.1</t>
  </si>
  <si>
    <t>16.1.2</t>
  </si>
  <si>
    <t>16.1.3</t>
  </si>
  <si>
    <t>16.2</t>
  </si>
  <si>
    <t>16.2.1</t>
  </si>
  <si>
    <t>16.2.2</t>
  </si>
  <si>
    <t>17.1</t>
  </si>
  <si>
    <t>17.1.1</t>
  </si>
  <si>
    <t>18.</t>
  </si>
  <si>
    <t>18.1.1</t>
  </si>
  <si>
    <t>18.2</t>
  </si>
  <si>
    <t>18.2.1</t>
  </si>
  <si>
    <t>Кошти від надання послуг з медичної діяльності, відшкодування від страхової компанії (залишик минулих періодів)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</si>
  <si>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>(платні палати, стажування інтернів, відшкодування від страхової компанії)</t>
    </r>
  </si>
  <si>
    <t>списання металобрухту</t>
  </si>
  <si>
    <t>Директор КНП"ВМКЛ"ЦМтаД"</t>
  </si>
  <si>
    <r>
      <t>Директор КНП 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</si>
  <si>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Розшифровка до розділу  IV "Капітальні інвестиції" за джерелами надходження</t>
  </si>
  <si>
    <t>кошти Вінницької міської  територіальної громади (ВМТГ)</t>
  </si>
  <si>
    <t>кошти Вінницької міської  територіальної громади (ВМТГ) (залиши минулих періодів)</t>
  </si>
  <si>
    <t xml:space="preserve">ЗВІТ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"Вінницька міська клінічна лікарня "Центр матері та дитини"
за І квартал 2022 року
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</si>
</sst>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240">
    <xf numFmtId="0" fontId="0" fillId="0" borderId="0" xfId="0"/>
    <xf numFmtId="0" fontId="65" fillId="22" borderId="3" xfId="0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right" vertical="center" wrapText="1"/>
    </xf>
    <xf numFmtId="0" fontId="70" fillId="29" borderId="0" xfId="0" applyFont="1" applyFill="1" applyBorder="1" applyAlignment="1">
      <alignment horizontal="center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4" fillId="22" borderId="3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4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/>
    </xf>
    <xf numFmtId="0" fontId="65" fillId="22" borderId="0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178" fontId="63" fillId="29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3" fillId="0" borderId="0" xfId="0" applyFont="1" applyFill="1" applyAlignment="1">
      <alignment vertical="center"/>
    </xf>
    <xf numFmtId="0" fontId="67" fillId="29" borderId="3" xfId="0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62" fillId="29" borderId="18" xfId="0" applyFont="1" applyFill="1" applyBorder="1" applyAlignment="1">
      <alignment horizontal="center" vertical="center"/>
    </xf>
    <xf numFmtId="0" fontId="62" fillId="22" borderId="17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49" fontId="76" fillId="29" borderId="3" xfId="0" applyNumberFormat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horizontal="center" vertical="center" wrapText="1"/>
    </xf>
    <xf numFmtId="49" fontId="77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horizontal="center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vertical="center"/>
    </xf>
    <xf numFmtId="0" fontId="78" fillId="29" borderId="3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vertical="center"/>
    </xf>
    <xf numFmtId="0" fontId="76" fillId="29" borderId="3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left"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left" vertical="center"/>
    </xf>
    <xf numFmtId="49" fontId="64" fillId="29" borderId="3" xfId="0" applyNumberFormat="1" applyFont="1" applyFill="1" applyBorder="1" applyAlignment="1">
      <alignment horizontal="center" vertical="center"/>
    </xf>
    <xf numFmtId="49" fontId="75" fillId="29" borderId="3" xfId="0" applyNumberFormat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49" fontId="6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/>
    </xf>
    <xf numFmtId="0" fontId="78" fillId="29" borderId="3" xfId="0" quotePrefix="1" applyFont="1" applyFill="1" applyBorder="1" applyAlignment="1">
      <alignment horizontal="center" vertical="center"/>
    </xf>
    <xf numFmtId="178" fontId="76" fillId="29" borderId="3" xfId="0" applyNumberFormat="1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horizontal="left" vertical="center"/>
    </xf>
    <xf numFmtId="0" fontId="70" fillId="29" borderId="0" xfId="0" applyFont="1" applyFill="1" applyBorder="1" applyAlignment="1">
      <alignment vertical="center"/>
    </xf>
    <xf numFmtId="0" fontId="65" fillId="22" borderId="3" xfId="0" applyFont="1" applyFill="1" applyBorder="1" applyAlignment="1">
      <alignment horizontal="left"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center"/>
    </xf>
    <xf numFmtId="179" fontId="65" fillId="29" borderId="0" xfId="0" applyNumberFormat="1" applyFont="1" applyFill="1" applyBorder="1" applyAlignment="1">
      <alignment horizontal="center"/>
    </xf>
    <xf numFmtId="0" fontId="75" fillId="29" borderId="3" xfId="0" applyFont="1" applyFill="1" applyBorder="1" applyAlignment="1">
      <alignment horizontal="left" vertical="center"/>
    </xf>
    <xf numFmtId="0" fontId="7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179" fontId="63" fillId="29" borderId="0" xfId="0" applyNumberFormat="1" applyFont="1" applyFill="1" applyBorder="1" applyAlignment="1">
      <alignment horizontal="center" vertical="center"/>
    </xf>
    <xf numFmtId="178" fontId="63" fillId="29" borderId="0" xfId="0" applyNumberFormat="1" applyFont="1" applyFill="1" applyBorder="1" applyAlignment="1">
      <alignment horizontal="center" vertical="center"/>
    </xf>
    <xf numFmtId="178" fontId="65" fillId="29" borderId="0" xfId="0" applyNumberFormat="1" applyFont="1" applyFill="1" applyBorder="1" applyAlignment="1">
      <alignment horizontal="center" vertical="center"/>
    </xf>
    <xf numFmtId="170" fontId="65" fillId="29" borderId="3" xfId="0" applyNumberFormat="1" applyFont="1" applyFill="1" applyBorder="1" applyAlignment="1">
      <alignment vertical="center" wrapText="1"/>
    </xf>
    <xf numFmtId="178" fontId="65" fillId="29" borderId="3" xfId="0" applyNumberFormat="1" applyFont="1" applyFill="1" applyBorder="1" applyAlignment="1">
      <alignment vertical="center" wrapText="1"/>
    </xf>
    <xf numFmtId="0" fontId="65" fillId="29" borderId="3" xfId="0" applyFont="1" applyFill="1" applyBorder="1" applyAlignment="1">
      <alignment horizontal="center" vertical="center"/>
    </xf>
    <xf numFmtId="179" fontId="63" fillId="29" borderId="3" xfId="0" applyNumberFormat="1" applyFont="1" applyFill="1" applyBorder="1" applyAlignment="1">
      <alignment horizontal="center" vertical="center" wrapText="1"/>
    </xf>
    <xf numFmtId="169" fontId="65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 wrapText="1"/>
    </xf>
    <xf numFmtId="0" fontId="80" fillId="0" borderId="3" xfId="0" applyFont="1" applyBorder="1"/>
    <xf numFmtId="0" fontId="65" fillId="0" borderId="3" xfId="0" applyFont="1" applyBorder="1" applyAlignment="1">
      <alignment horizontal="left" vertical="center" wrapText="1"/>
    </xf>
    <xf numFmtId="0" fontId="81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179" fontId="65" fillId="29" borderId="0" xfId="0" applyNumberFormat="1" applyFont="1" applyFill="1" applyBorder="1" applyAlignment="1">
      <alignment vertical="center"/>
    </xf>
    <xf numFmtId="0" fontId="63" fillId="29" borderId="3" xfId="0" quotePrefix="1" applyFont="1" applyFill="1" applyBorder="1" applyAlignment="1">
      <alignment horizontal="center" vertical="center"/>
    </xf>
    <xf numFmtId="179" fontId="63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horizontal="left" vertical="center"/>
    </xf>
    <xf numFmtId="0" fontId="68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169" fontId="62" fillId="29" borderId="0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9" fontId="62" fillId="29" borderId="0" xfId="0" applyNumberFormat="1" applyFont="1" applyFill="1" applyBorder="1" applyAlignment="1">
      <alignment vertical="center"/>
    </xf>
    <xf numFmtId="177" fontId="62" fillId="29" borderId="0" xfId="0" applyNumberFormat="1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wrapText="1"/>
    </xf>
    <xf numFmtId="0" fontId="75" fillId="29" borderId="3" xfId="0" applyFont="1" applyFill="1" applyBorder="1" applyAlignment="1">
      <alignment horizontal="left" vertical="center" wrapText="1"/>
    </xf>
    <xf numFmtId="178" fontId="75" fillId="29" borderId="3" xfId="0" applyNumberFormat="1" applyFont="1" applyFill="1" applyBorder="1" applyAlignment="1">
      <alignment horizontal="center" vertical="center"/>
    </xf>
    <xf numFmtId="178" fontId="63" fillId="29" borderId="0" xfId="0" applyNumberFormat="1" applyFont="1" applyFill="1" applyBorder="1" applyAlignment="1">
      <alignment vertical="center"/>
    </xf>
    <xf numFmtId="178" fontId="82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178" fontId="83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vertical="center" wrapText="1"/>
    </xf>
    <xf numFmtId="178" fontId="8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vertical="center" wrapText="1"/>
    </xf>
    <xf numFmtId="0" fontId="79" fillId="29" borderId="3" xfId="0" quotePrefix="1" applyFont="1" applyFill="1" applyBorder="1" applyAlignment="1">
      <alignment horizontal="center" vertical="center"/>
    </xf>
    <xf numFmtId="178" fontId="79" fillId="29" borderId="3" xfId="0" applyNumberFormat="1" applyFont="1" applyFill="1" applyBorder="1" applyAlignment="1">
      <alignment horizontal="center" vertical="center" wrapText="1"/>
    </xf>
    <xf numFmtId="169" fontId="63" fillId="29" borderId="0" xfId="0" applyNumberFormat="1" applyFont="1" applyFill="1" applyBorder="1" applyAlignment="1">
      <alignment vertical="center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169" fontId="65" fillId="29" borderId="3" xfId="0" applyNumberFormat="1" applyFont="1" applyFill="1" applyBorder="1" applyAlignment="1">
      <alignment horizontal="right" vertical="center"/>
    </xf>
    <xf numFmtId="178" fontId="65" fillId="29" borderId="3" xfId="0" applyNumberFormat="1" applyFont="1" applyFill="1" applyBorder="1" applyAlignment="1">
      <alignment horizontal="right" vertical="center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left" vertical="center" wrapText="1"/>
    </xf>
    <xf numFmtId="0" fontId="75" fillId="22" borderId="3" xfId="0" applyFont="1" applyFill="1" applyBorder="1" applyAlignment="1">
      <alignment horizontal="center" vertical="center" wrapText="1"/>
    </xf>
    <xf numFmtId="0" fontId="75" fillId="0" borderId="3" xfId="0" applyFont="1" applyBorder="1" applyAlignment="1">
      <alignment horizontal="left" vertical="center" wrapText="1"/>
    </xf>
    <xf numFmtId="0" fontId="75" fillId="22" borderId="3" xfId="0" quotePrefix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0" applyFont="1" applyFill="1" applyBorder="1" applyAlignment="1">
      <alignment horizontal="left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0" fontId="65" fillId="22" borderId="3" xfId="0" applyFont="1" applyFill="1" applyBorder="1" applyAlignment="1">
      <alignment horizontal="center" vertical="center" wrapText="1" shrinkToFit="1"/>
    </xf>
    <xf numFmtId="178" fontId="82" fillId="29" borderId="3" xfId="0" applyNumberFormat="1" applyFont="1" applyFill="1" applyBorder="1" applyAlignment="1">
      <alignment vertical="center"/>
    </xf>
    <xf numFmtId="178" fontId="84" fillId="29" borderId="3" xfId="0" applyNumberFormat="1" applyFont="1" applyFill="1" applyBorder="1" applyAlignment="1">
      <alignment vertical="center"/>
    </xf>
    <xf numFmtId="178" fontId="6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vertical="center"/>
    </xf>
    <xf numFmtId="0" fontId="76" fillId="29" borderId="3" xfId="0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3" fillId="29" borderId="13" xfId="0" applyFont="1" applyFill="1" applyBorder="1" applyAlignment="1">
      <alignment horizontal="center"/>
    </xf>
    <xf numFmtId="0" fontId="66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/>
    </xf>
    <xf numFmtId="0" fontId="65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vertical="center" wrapText="1"/>
    </xf>
    <xf numFmtId="0" fontId="74" fillId="0" borderId="0" xfId="0" applyFont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2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4" xfId="0" applyFont="1" applyFill="1" applyBorder="1" applyAlignment="1">
      <alignment horizontal="center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62" fillId="29" borderId="15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  <xf numFmtId="0" fontId="62" fillId="29" borderId="16" xfId="0" applyFont="1" applyFill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251"/>
  <sheetViews>
    <sheetView tabSelected="1" view="pageBreakPreview" topLeftCell="A17" zoomScale="59" zoomScaleNormal="75" zoomScaleSheetLayoutView="59" workbookViewId="0">
      <selection activeCell="D50" sqref="D50"/>
    </sheetView>
  </sheetViews>
  <sheetFormatPr defaultRowHeight="20.25"/>
  <cols>
    <col min="1" max="1" width="65.42578125" style="142" customWidth="1"/>
    <col min="2" max="2" width="17.28515625" style="47" customWidth="1"/>
    <col min="3" max="4" width="18" style="47" customWidth="1"/>
    <col min="5" max="5" width="18.7109375" style="142" customWidth="1"/>
    <col min="6" max="6" width="19" style="142" customWidth="1"/>
    <col min="7" max="7" width="18.7109375" style="142" customWidth="1"/>
    <col min="8" max="8" width="19.7109375" style="142" customWidth="1"/>
    <col min="9" max="9" width="10" style="142" customWidth="1"/>
    <col min="10" max="10" width="11.85546875" style="142" customWidth="1"/>
    <col min="11" max="11" width="12.140625" style="142" customWidth="1"/>
    <col min="12" max="12" width="13.85546875" style="142" customWidth="1"/>
    <col min="13" max="13" width="17" style="142" customWidth="1"/>
    <col min="14" max="16" width="9.140625" style="142"/>
    <col min="17" max="17" width="11.42578125" style="142" bestFit="1" customWidth="1"/>
    <col min="18" max="16384" width="9.140625" style="142"/>
  </cols>
  <sheetData>
    <row r="1" spans="1:8" ht="111" customHeight="1">
      <c r="A1" s="212" t="s">
        <v>380</v>
      </c>
      <c r="B1" s="211"/>
      <c r="C1" s="211"/>
      <c r="D1" s="211"/>
      <c r="E1" s="211"/>
      <c r="F1" s="211"/>
      <c r="G1" s="211"/>
      <c r="H1" s="211"/>
    </row>
    <row r="2" spans="1:8" ht="30" customHeight="1">
      <c r="A2" s="211" t="s">
        <v>18</v>
      </c>
      <c r="B2" s="211"/>
      <c r="C2" s="211"/>
      <c r="D2" s="211"/>
      <c r="E2" s="211"/>
      <c r="F2" s="211"/>
      <c r="G2" s="211"/>
      <c r="H2" s="211"/>
    </row>
    <row r="3" spans="1:8" ht="23.25" customHeight="1">
      <c r="B3" s="143"/>
      <c r="C3" s="137"/>
      <c r="D3" s="143"/>
      <c r="E3" s="143"/>
      <c r="F3" s="143"/>
      <c r="G3" s="143"/>
      <c r="H3" s="144" t="s">
        <v>57</v>
      </c>
    </row>
    <row r="4" spans="1:8" ht="48.75" customHeight="1">
      <c r="A4" s="208" t="s">
        <v>23</v>
      </c>
      <c r="B4" s="207" t="s">
        <v>5</v>
      </c>
      <c r="C4" s="207" t="s">
        <v>128</v>
      </c>
      <c r="D4" s="207"/>
      <c r="E4" s="208" t="s">
        <v>238</v>
      </c>
      <c r="F4" s="208"/>
      <c r="G4" s="208"/>
      <c r="H4" s="208"/>
    </row>
    <row r="5" spans="1:8" ht="47.25" customHeight="1">
      <c r="A5" s="208"/>
      <c r="B5" s="207"/>
      <c r="C5" s="174" t="s">
        <v>239</v>
      </c>
      <c r="D5" s="174" t="s">
        <v>237</v>
      </c>
      <c r="E5" s="5" t="s">
        <v>113</v>
      </c>
      <c r="F5" s="5" t="s">
        <v>114</v>
      </c>
      <c r="G5" s="5" t="s">
        <v>115</v>
      </c>
      <c r="H5" s="5" t="s">
        <v>116</v>
      </c>
    </row>
    <row r="6" spans="1:8" ht="29.25" customHeight="1">
      <c r="A6" s="7">
        <v>1</v>
      </c>
      <c r="B6" s="174">
        <v>2</v>
      </c>
      <c r="C6" s="174">
        <v>3</v>
      </c>
      <c r="D6" s="174">
        <v>5</v>
      </c>
      <c r="E6" s="174">
        <v>7</v>
      </c>
      <c r="F6" s="174">
        <v>8</v>
      </c>
      <c r="G6" s="174">
        <v>9</v>
      </c>
      <c r="H6" s="174">
        <v>10</v>
      </c>
    </row>
    <row r="7" spans="1:8" ht="33" customHeight="1">
      <c r="A7" s="213" t="s">
        <v>100</v>
      </c>
      <c r="B7" s="213"/>
      <c r="C7" s="213"/>
      <c r="D7" s="213"/>
      <c r="E7" s="213"/>
      <c r="F7" s="213"/>
      <c r="G7" s="213"/>
      <c r="H7" s="213"/>
    </row>
    <row r="8" spans="1:8" ht="48.75" customHeight="1">
      <c r="A8" s="186" t="s">
        <v>129</v>
      </c>
      <c r="B8" s="6">
        <v>1000</v>
      </c>
      <c r="C8" s="2">
        <v>18305</v>
      </c>
      <c r="D8" s="2">
        <v>21058.5</v>
      </c>
      <c r="E8" s="2">
        <v>19188.7</v>
      </c>
      <c r="F8" s="2">
        <f>D8</f>
        <v>21058.5</v>
      </c>
      <c r="G8" s="2">
        <f>F8-E8</f>
        <v>1869.7999999999993</v>
      </c>
      <c r="H8" s="2">
        <f>(F8/E8)*100</f>
        <v>109.74427657944518</v>
      </c>
    </row>
    <row r="9" spans="1:8" ht="47.25" customHeight="1">
      <c r="A9" s="186" t="s">
        <v>67</v>
      </c>
      <c r="B9" s="6">
        <v>1010</v>
      </c>
      <c r="C9" s="2">
        <f>SUM(C10:C14)</f>
        <v>-23912.400000000001</v>
      </c>
      <c r="D9" s="2">
        <f>SUM(D10:D14)</f>
        <v>-26226.800000000003</v>
      </c>
      <c r="E9" s="2">
        <f>SUM(E10:E14)</f>
        <v>-21636.799999999999</v>
      </c>
      <c r="F9" s="2">
        <f t="shared" ref="F9:F43" si="0">D9</f>
        <v>-26226.800000000003</v>
      </c>
      <c r="G9" s="2">
        <f t="shared" ref="G9:G43" si="1">F9-E9</f>
        <v>-4590.0000000000036</v>
      </c>
      <c r="H9" s="2">
        <f t="shared" ref="H9:H43" si="2">(F9/E9)*100</f>
        <v>121.21385787177404</v>
      </c>
    </row>
    <row r="10" spans="1:8" ht="30" customHeight="1">
      <c r="A10" s="187" t="s">
        <v>68</v>
      </c>
      <c r="B10" s="7">
        <v>1011</v>
      </c>
      <c r="C10" s="8">
        <v>-3989.6</v>
      </c>
      <c r="D10" s="8">
        <v>-3345.7</v>
      </c>
      <c r="E10" s="8">
        <v>-3130.4</v>
      </c>
      <c r="F10" s="2">
        <f t="shared" si="0"/>
        <v>-3345.7</v>
      </c>
      <c r="G10" s="8">
        <f t="shared" si="1"/>
        <v>-215.29999999999973</v>
      </c>
      <c r="H10" s="8">
        <f t="shared" si="2"/>
        <v>106.87771530794785</v>
      </c>
    </row>
    <row r="11" spans="1:8" ht="28.5" customHeight="1">
      <c r="A11" s="187" t="s">
        <v>2</v>
      </c>
      <c r="B11" s="7">
        <v>1012</v>
      </c>
      <c r="C11" s="8">
        <v>-14825.9</v>
      </c>
      <c r="D11" s="8">
        <v>-16155.1</v>
      </c>
      <c r="E11" s="8">
        <v>-12220.6</v>
      </c>
      <c r="F11" s="2">
        <f t="shared" si="0"/>
        <v>-16155.1</v>
      </c>
      <c r="G11" s="8">
        <f t="shared" si="1"/>
        <v>-3934.5</v>
      </c>
      <c r="H11" s="8">
        <f t="shared" si="2"/>
        <v>132.19563687543982</v>
      </c>
    </row>
    <row r="12" spans="1:8" ht="29.25" customHeight="1">
      <c r="A12" s="187" t="s">
        <v>3</v>
      </c>
      <c r="B12" s="7">
        <v>1013</v>
      </c>
      <c r="C12" s="8">
        <v>-3116.2</v>
      </c>
      <c r="D12" s="8">
        <v>-3366.2</v>
      </c>
      <c r="E12" s="8">
        <v>-2627.6</v>
      </c>
      <c r="F12" s="2">
        <f t="shared" si="0"/>
        <v>-3366.2</v>
      </c>
      <c r="G12" s="8">
        <f t="shared" si="1"/>
        <v>-738.59999999999991</v>
      </c>
      <c r="H12" s="8">
        <f t="shared" si="2"/>
        <v>128.10930126351045</v>
      </c>
    </row>
    <row r="13" spans="1:8" ht="29.25" customHeight="1">
      <c r="A13" s="187" t="s">
        <v>4</v>
      </c>
      <c r="B13" s="7">
        <v>1014</v>
      </c>
      <c r="C13" s="8">
        <v>-383.7</v>
      </c>
      <c r="D13" s="8">
        <v>-299.89999999999998</v>
      </c>
      <c r="E13" s="8" t="s">
        <v>26</v>
      </c>
      <c r="F13" s="2">
        <f t="shared" si="0"/>
        <v>-299.89999999999998</v>
      </c>
      <c r="G13" s="179" t="e">
        <f t="shared" si="1"/>
        <v>#VALUE!</v>
      </c>
      <c r="H13" s="179" t="e">
        <f t="shared" si="2"/>
        <v>#VALUE!</v>
      </c>
    </row>
    <row r="14" spans="1:8" ht="30" customHeight="1">
      <c r="A14" s="187" t="s">
        <v>50</v>
      </c>
      <c r="B14" s="7">
        <v>1015</v>
      </c>
      <c r="C14" s="8">
        <v>-1597</v>
      </c>
      <c r="D14" s="8">
        <v>-3059.9</v>
      </c>
      <c r="E14" s="8">
        <v>-3658.2</v>
      </c>
      <c r="F14" s="2">
        <f t="shared" si="0"/>
        <v>-3059.9</v>
      </c>
      <c r="G14" s="8">
        <f t="shared" si="1"/>
        <v>598.29999999999973</v>
      </c>
      <c r="H14" s="8">
        <f t="shared" si="2"/>
        <v>83.64496200317096</v>
      </c>
    </row>
    <row r="15" spans="1:8" ht="28.5" customHeight="1">
      <c r="A15" s="186" t="s">
        <v>25</v>
      </c>
      <c r="B15" s="7">
        <v>1020</v>
      </c>
      <c r="C15" s="2">
        <f>SUM(C8:C9)</f>
        <v>-5607.4000000000015</v>
      </c>
      <c r="D15" s="2">
        <f>SUM(D8:D9)</f>
        <v>-5168.3000000000029</v>
      </c>
      <c r="E15" s="2">
        <f>SUM(E8:E9)</f>
        <v>-2448.0999999999985</v>
      </c>
      <c r="F15" s="2">
        <f t="shared" si="0"/>
        <v>-5168.3000000000029</v>
      </c>
      <c r="G15" s="2">
        <f t="shared" si="1"/>
        <v>-2720.2000000000044</v>
      </c>
      <c r="H15" s="2">
        <f t="shared" si="2"/>
        <v>211.11474204485137</v>
      </c>
    </row>
    <row r="16" spans="1:8" ht="27.75" customHeight="1">
      <c r="A16" s="186" t="s">
        <v>89</v>
      </c>
      <c r="B16" s="6">
        <v>1020</v>
      </c>
      <c r="C16" s="2">
        <f>SUM(C17:C21)</f>
        <v>-1341.3000000000002</v>
      </c>
      <c r="D16" s="2">
        <f>SUM(D17:D21)</f>
        <v>-1832</v>
      </c>
      <c r="E16" s="2">
        <f>SUM(E17:E21)</f>
        <v>-1165.1000000000001</v>
      </c>
      <c r="F16" s="2">
        <f t="shared" si="0"/>
        <v>-1832</v>
      </c>
      <c r="G16" s="2">
        <f t="shared" si="1"/>
        <v>-666.89999999999986</v>
      </c>
      <c r="H16" s="2">
        <f t="shared" si="2"/>
        <v>157.23972191228219</v>
      </c>
    </row>
    <row r="17" spans="1:8" ht="27.75" customHeight="1">
      <c r="A17" s="187" t="s">
        <v>68</v>
      </c>
      <c r="B17" s="7">
        <v>1021</v>
      </c>
      <c r="C17" s="8">
        <v>-7.7</v>
      </c>
      <c r="D17" s="8">
        <v>-14.2</v>
      </c>
      <c r="E17" s="8">
        <v>-13</v>
      </c>
      <c r="F17" s="2">
        <f t="shared" si="0"/>
        <v>-14.2</v>
      </c>
      <c r="G17" s="8">
        <f t="shared" si="1"/>
        <v>-1.1999999999999993</v>
      </c>
      <c r="H17" s="8">
        <f t="shared" si="2"/>
        <v>109.23076923076923</v>
      </c>
    </row>
    <row r="18" spans="1:8" ht="27.75" customHeight="1">
      <c r="A18" s="187" t="s">
        <v>2</v>
      </c>
      <c r="B18" s="7">
        <v>1022</v>
      </c>
      <c r="C18" s="8">
        <v>-991.7</v>
      </c>
      <c r="D18" s="8">
        <v>-1063.8</v>
      </c>
      <c r="E18" s="8">
        <v>-880</v>
      </c>
      <c r="F18" s="2">
        <f t="shared" si="0"/>
        <v>-1063.8</v>
      </c>
      <c r="G18" s="8">
        <f t="shared" si="1"/>
        <v>-183.79999999999995</v>
      </c>
      <c r="H18" s="8">
        <f t="shared" si="2"/>
        <v>120.88636363636363</v>
      </c>
    </row>
    <row r="19" spans="1:8" ht="27.75" customHeight="1">
      <c r="A19" s="187" t="s">
        <v>3</v>
      </c>
      <c r="B19" s="7">
        <v>1023</v>
      </c>
      <c r="C19" s="8">
        <v>-225.9</v>
      </c>
      <c r="D19" s="8">
        <v>-228</v>
      </c>
      <c r="E19" s="8">
        <v>-189.2</v>
      </c>
      <c r="F19" s="2">
        <f t="shared" si="0"/>
        <v>-228</v>
      </c>
      <c r="G19" s="8">
        <f t="shared" si="1"/>
        <v>-38.800000000000011</v>
      </c>
      <c r="H19" s="8">
        <f t="shared" si="2"/>
        <v>120.50739957716704</v>
      </c>
    </row>
    <row r="20" spans="1:8" ht="27.75" customHeight="1">
      <c r="A20" s="187" t="s">
        <v>4</v>
      </c>
      <c r="B20" s="7">
        <v>1024</v>
      </c>
      <c r="C20" s="8">
        <v>-53.2</v>
      </c>
      <c r="D20" s="8">
        <v>-444.1</v>
      </c>
      <c r="E20" s="8" t="s">
        <v>26</v>
      </c>
      <c r="F20" s="2">
        <f t="shared" si="0"/>
        <v>-444.1</v>
      </c>
      <c r="G20" s="179" t="e">
        <f t="shared" si="1"/>
        <v>#VALUE!</v>
      </c>
      <c r="H20" s="179" t="e">
        <f t="shared" si="2"/>
        <v>#VALUE!</v>
      </c>
    </row>
    <row r="21" spans="1:8" ht="27.75" customHeight="1">
      <c r="A21" s="187" t="s">
        <v>69</v>
      </c>
      <c r="B21" s="7">
        <v>1025</v>
      </c>
      <c r="C21" s="8">
        <v>-62.8</v>
      </c>
      <c r="D21" s="8">
        <v>-81.900000000000006</v>
      </c>
      <c r="E21" s="8">
        <v>-82.9</v>
      </c>
      <c r="F21" s="2">
        <f t="shared" si="0"/>
        <v>-81.900000000000006</v>
      </c>
      <c r="G21" s="8">
        <f t="shared" si="1"/>
        <v>1</v>
      </c>
      <c r="H21" s="8">
        <f t="shared" si="2"/>
        <v>98.793727382388425</v>
      </c>
    </row>
    <row r="22" spans="1:8" ht="38.25" customHeight="1">
      <c r="A22" s="186" t="s">
        <v>35</v>
      </c>
      <c r="B22" s="6">
        <v>1040</v>
      </c>
      <c r="C22" s="2">
        <v>5582</v>
      </c>
      <c r="D22" s="2">
        <f>SUM(D23:D24)</f>
        <v>4830.8</v>
      </c>
      <c r="E22" s="2">
        <f>SUM(E23:E24)</f>
        <v>3705.6</v>
      </c>
      <c r="F22" s="2">
        <f t="shared" si="0"/>
        <v>4830.8</v>
      </c>
      <c r="G22" s="2">
        <f t="shared" si="1"/>
        <v>1125.2000000000003</v>
      </c>
      <c r="H22" s="2">
        <f t="shared" si="2"/>
        <v>130.36485319516407</v>
      </c>
    </row>
    <row r="23" spans="1:8" ht="30.75" customHeight="1">
      <c r="A23" s="187" t="s">
        <v>36</v>
      </c>
      <c r="B23" s="7">
        <v>1041</v>
      </c>
      <c r="C23" s="8"/>
      <c r="D23" s="8"/>
      <c r="E23" s="8"/>
      <c r="F23" s="2">
        <f t="shared" si="0"/>
        <v>0</v>
      </c>
      <c r="G23" s="8">
        <f t="shared" si="1"/>
        <v>0</v>
      </c>
      <c r="H23" s="8" t="e">
        <f t="shared" si="2"/>
        <v>#DIV/0!</v>
      </c>
    </row>
    <row r="24" spans="1:8" ht="27.75" customHeight="1">
      <c r="A24" s="187" t="s">
        <v>37</v>
      </c>
      <c r="B24" s="7">
        <v>1042</v>
      </c>
      <c r="C24" s="8">
        <v>5585</v>
      </c>
      <c r="D24" s="8">
        <v>4830.8</v>
      </c>
      <c r="E24" s="8">
        <v>3705.6</v>
      </c>
      <c r="F24" s="2">
        <f t="shared" si="0"/>
        <v>4830.8</v>
      </c>
      <c r="G24" s="8">
        <f t="shared" si="1"/>
        <v>1125.2000000000003</v>
      </c>
      <c r="H24" s="8">
        <f t="shared" si="2"/>
        <v>130.36485319516407</v>
      </c>
    </row>
    <row r="25" spans="1:8" ht="37.5" customHeight="1">
      <c r="A25" s="186" t="s">
        <v>12</v>
      </c>
      <c r="B25" s="6">
        <v>1030</v>
      </c>
      <c r="C25" s="2">
        <f>SUM(C26:C30)</f>
        <v>-154.69999999999999</v>
      </c>
      <c r="D25" s="2">
        <f>SUM(D26:D30)</f>
        <v>-408.09999999999997</v>
      </c>
      <c r="E25" s="2">
        <f>SUM(E26:E30)</f>
        <v>-98</v>
      </c>
      <c r="F25" s="2">
        <f t="shared" si="0"/>
        <v>-408.09999999999997</v>
      </c>
      <c r="G25" s="2">
        <f t="shared" si="1"/>
        <v>-310.09999999999997</v>
      </c>
      <c r="H25" s="2">
        <f t="shared" si="2"/>
        <v>416.42857142857139</v>
      </c>
    </row>
    <row r="26" spans="1:8" ht="27.75" customHeight="1">
      <c r="A26" s="187" t="s">
        <v>68</v>
      </c>
      <c r="B26" s="7">
        <v>1031</v>
      </c>
      <c r="C26" s="8" t="s">
        <v>26</v>
      </c>
      <c r="D26" s="8" t="s">
        <v>26</v>
      </c>
      <c r="E26" s="8" t="s">
        <v>26</v>
      </c>
      <c r="F26" s="2" t="str">
        <f t="shared" si="0"/>
        <v>(    )</v>
      </c>
      <c r="G26" s="179" t="e">
        <f t="shared" si="1"/>
        <v>#VALUE!</v>
      </c>
      <c r="H26" s="179" t="e">
        <f t="shared" si="2"/>
        <v>#VALUE!</v>
      </c>
    </row>
    <row r="27" spans="1:8" ht="27.75" customHeight="1">
      <c r="A27" s="187" t="s">
        <v>2</v>
      </c>
      <c r="B27" s="7">
        <v>1032</v>
      </c>
      <c r="C27" s="8">
        <v>-63</v>
      </c>
      <c r="D27" s="8">
        <v>-282.8</v>
      </c>
      <c r="E27" s="8" t="s">
        <v>26</v>
      </c>
      <c r="F27" s="2">
        <f t="shared" si="0"/>
        <v>-282.8</v>
      </c>
      <c r="G27" s="179" t="e">
        <f t="shared" si="1"/>
        <v>#VALUE!</v>
      </c>
      <c r="H27" s="179" t="e">
        <f t="shared" si="2"/>
        <v>#VALUE!</v>
      </c>
    </row>
    <row r="28" spans="1:8" ht="27.75" customHeight="1">
      <c r="A28" s="187" t="s">
        <v>3</v>
      </c>
      <c r="B28" s="7">
        <v>1033</v>
      </c>
      <c r="C28" s="8">
        <v>-48.4</v>
      </c>
      <c r="D28" s="8">
        <v>-74.099999999999994</v>
      </c>
      <c r="E28" s="8" t="s">
        <v>26</v>
      </c>
      <c r="F28" s="2">
        <f t="shared" si="0"/>
        <v>-74.099999999999994</v>
      </c>
      <c r="G28" s="179" t="e">
        <f t="shared" si="1"/>
        <v>#VALUE!</v>
      </c>
      <c r="H28" s="179" t="e">
        <f t="shared" si="2"/>
        <v>#VALUE!</v>
      </c>
    </row>
    <row r="29" spans="1:8" ht="27.75" customHeight="1">
      <c r="A29" s="187" t="s">
        <v>4</v>
      </c>
      <c r="B29" s="7">
        <v>1034</v>
      </c>
      <c r="C29" s="8" t="s">
        <v>26</v>
      </c>
      <c r="D29" s="8" t="s">
        <v>26</v>
      </c>
      <c r="E29" s="8" t="s">
        <v>26</v>
      </c>
      <c r="F29" s="2" t="str">
        <f t="shared" si="0"/>
        <v>(    )</v>
      </c>
      <c r="G29" s="179" t="e">
        <f t="shared" si="1"/>
        <v>#VALUE!</v>
      </c>
      <c r="H29" s="179" t="e">
        <f t="shared" si="2"/>
        <v>#VALUE!</v>
      </c>
    </row>
    <row r="30" spans="1:8" ht="27.75" customHeight="1">
      <c r="A30" s="187" t="s">
        <v>70</v>
      </c>
      <c r="B30" s="7">
        <v>1035</v>
      </c>
      <c r="C30" s="8">
        <v>-43.3</v>
      </c>
      <c r="D30" s="8">
        <v>-51.2</v>
      </c>
      <c r="E30" s="8">
        <v>-98</v>
      </c>
      <c r="F30" s="2">
        <f t="shared" si="0"/>
        <v>-51.2</v>
      </c>
      <c r="G30" s="8">
        <f t="shared" si="1"/>
        <v>46.8</v>
      </c>
      <c r="H30" s="8">
        <f t="shared" si="2"/>
        <v>52.244897959183675</v>
      </c>
    </row>
    <row r="31" spans="1:8" ht="47.25" customHeight="1">
      <c r="A31" s="186" t="s">
        <v>1</v>
      </c>
      <c r="B31" s="7">
        <v>1100</v>
      </c>
      <c r="C31" s="2">
        <f>SUM(C15,C16,C22,C25)</f>
        <v>-1521.4000000000017</v>
      </c>
      <c r="D31" s="2">
        <f>SUM(D15,D16,D22,D25)</f>
        <v>-2577.6000000000026</v>
      </c>
      <c r="E31" s="2">
        <f>SUM(E15,E16,E22,E25)</f>
        <v>-5.5999999999989996</v>
      </c>
      <c r="F31" s="2">
        <f t="shared" si="0"/>
        <v>-2577.6000000000026</v>
      </c>
      <c r="G31" s="2">
        <f t="shared" si="1"/>
        <v>-2572.0000000000036</v>
      </c>
      <c r="H31" s="2">
        <f t="shared" si="2"/>
        <v>46028.5714285797</v>
      </c>
    </row>
    <row r="32" spans="1:8" ht="27.75" customHeight="1">
      <c r="A32" s="186" t="s">
        <v>130</v>
      </c>
      <c r="B32" s="6">
        <v>1130</v>
      </c>
      <c r="C32" s="2">
        <v>9.6</v>
      </c>
      <c r="D32" s="2">
        <v>8.6</v>
      </c>
      <c r="E32" s="2">
        <v>5.6</v>
      </c>
      <c r="F32" s="2">
        <f t="shared" si="0"/>
        <v>8.6</v>
      </c>
      <c r="G32" s="2">
        <f t="shared" si="1"/>
        <v>3</v>
      </c>
      <c r="H32" s="2">
        <f t="shared" si="2"/>
        <v>153.57142857142858</v>
      </c>
    </row>
    <row r="33" spans="1:8" ht="27.75" customHeight="1">
      <c r="A33" s="188" t="s">
        <v>131</v>
      </c>
      <c r="B33" s="6">
        <v>1140</v>
      </c>
      <c r="C33" s="2" t="s">
        <v>26</v>
      </c>
      <c r="D33" s="2" t="s">
        <v>26</v>
      </c>
      <c r="E33" s="8" t="s">
        <v>26</v>
      </c>
      <c r="F33" s="2" t="str">
        <f t="shared" si="0"/>
        <v>(    )</v>
      </c>
      <c r="G33" s="180" t="e">
        <f t="shared" si="1"/>
        <v>#VALUE!</v>
      </c>
      <c r="H33" s="180" t="e">
        <f t="shared" si="2"/>
        <v>#VALUE!</v>
      </c>
    </row>
    <row r="34" spans="1:8" ht="27.75" customHeight="1">
      <c r="A34" s="186" t="s">
        <v>132</v>
      </c>
      <c r="B34" s="6">
        <v>1150</v>
      </c>
      <c r="C34" s="2">
        <v>423.3</v>
      </c>
      <c r="D34" s="2">
        <v>788.6</v>
      </c>
      <c r="E34" s="2"/>
      <c r="F34" s="2">
        <f t="shared" si="0"/>
        <v>788.6</v>
      </c>
      <c r="G34" s="2">
        <f t="shared" si="1"/>
        <v>788.6</v>
      </c>
      <c r="H34" s="180" t="e">
        <f t="shared" si="2"/>
        <v>#DIV/0!</v>
      </c>
    </row>
    <row r="35" spans="1:8" ht="27.75" customHeight="1">
      <c r="A35" s="186" t="s">
        <v>133</v>
      </c>
      <c r="B35" s="6">
        <v>1160</v>
      </c>
      <c r="C35" s="2" t="s">
        <v>26</v>
      </c>
      <c r="D35" s="2" t="s">
        <v>26</v>
      </c>
      <c r="E35" s="8" t="s">
        <v>26</v>
      </c>
      <c r="F35" s="2" t="str">
        <f t="shared" si="0"/>
        <v>(    )</v>
      </c>
      <c r="G35" s="180" t="e">
        <f t="shared" si="1"/>
        <v>#VALUE!</v>
      </c>
      <c r="H35" s="180" t="e">
        <f t="shared" si="2"/>
        <v>#VALUE!</v>
      </c>
    </row>
    <row r="36" spans="1:8" ht="28.5" customHeight="1">
      <c r="A36" s="186" t="s">
        <v>15</v>
      </c>
      <c r="B36" s="6">
        <v>1170</v>
      </c>
      <c r="C36" s="2">
        <f>SUM(C31, C32:C35)</f>
        <v>-1088.5000000000018</v>
      </c>
      <c r="D36" s="2">
        <f>SUM(D31, D32:D35)</f>
        <v>-1780.4000000000028</v>
      </c>
      <c r="E36" s="2">
        <f>SUM(E31, E32:E35)</f>
        <v>1.000088900582341E-12</v>
      </c>
      <c r="F36" s="2">
        <f t="shared" si="0"/>
        <v>-1780.4000000000028</v>
      </c>
      <c r="G36" s="2">
        <f t="shared" si="1"/>
        <v>-1780.4000000000037</v>
      </c>
      <c r="H36" s="180">
        <f t="shared" si="2"/>
        <v>-1.7802417354730115E+17</v>
      </c>
    </row>
    <row r="37" spans="1:8" ht="27.75" customHeight="1">
      <c r="A37" s="188" t="s">
        <v>28</v>
      </c>
      <c r="B37" s="7">
        <v>1180</v>
      </c>
      <c r="C37" s="8" t="s">
        <v>26</v>
      </c>
      <c r="D37" s="8" t="s">
        <v>26</v>
      </c>
      <c r="E37" s="8" t="s">
        <v>26</v>
      </c>
      <c r="F37" s="2" t="str">
        <f t="shared" si="0"/>
        <v>(    )</v>
      </c>
      <c r="G37" s="179" t="e">
        <f t="shared" si="1"/>
        <v>#VALUE!</v>
      </c>
      <c r="H37" s="179" t="e">
        <f t="shared" si="2"/>
        <v>#VALUE!</v>
      </c>
    </row>
    <row r="38" spans="1:8" ht="27" customHeight="1">
      <c r="A38" s="188" t="s">
        <v>29</v>
      </c>
      <c r="B38" s="7">
        <v>1181</v>
      </c>
      <c r="C38" s="8"/>
      <c r="D38" s="8"/>
      <c r="E38" s="8"/>
      <c r="F38" s="2">
        <f t="shared" si="0"/>
        <v>0</v>
      </c>
      <c r="G38" s="180">
        <f t="shared" si="1"/>
        <v>0</v>
      </c>
      <c r="H38" s="179" t="e">
        <f t="shared" si="2"/>
        <v>#DIV/0!</v>
      </c>
    </row>
    <row r="39" spans="1:8" ht="28.5" customHeight="1">
      <c r="A39" s="186" t="s">
        <v>46</v>
      </c>
      <c r="B39" s="7">
        <v>1200</v>
      </c>
      <c r="C39" s="2">
        <f>SUM(C36:C38)</f>
        <v>-1088.5000000000018</v>
      </c>
      <c r="D39" s="2">
        <f>SUM(D36:D38)</f>
        <v>-1780.4000000000028</v>
      </c>
      <c r="E39" s="2">
        <f>SUM(E36:E38)</f>
        <v>1.000088900582341E-12</v>
      </c>
      <c r="F39" s="2">
        <f t="shared" si="0"/>
        <v>-1780.4000000000028</v>
      </c>
      <c r="G39" s="2">
        <f t="shared" si="1"/>
        <v>-1780.4000000000037</v>
      </c>
      <c r="H39" s="180">
        <f t="shared" si="2"/>
        <v>-1.7802417354730115E+17</v>
      </c>
    </row>
    <row r="40" spans="1:8" ht="35.25" customHeight="1">
      <c r="A40" s="188" t="s">
        <v>47</v>
      </c>
      <c r="B40" s="7">
        <v>1201</v>
      </c>
      <c r="C40" s="8"/>
      <c r="D40" s="8"/>
      <c r="E40" s="8"/>
      <c r="F40" s="2">
        <f t="shared" si="0"/>
        <v>0</v>
      </c>
      <c r="G40" s="179">
        <f t="shared" si="1"/>
        <v>0</v>
      </c>
      <c r="H40" s="179" t="e">
        <f t="shared" si="2"/>
        <v>#DIV/0!</v>
      </c>
    </row>
    <row r="41" spans="1:8" ht="33" customHeight="1">
      <c r="A41" s="188" t="s">
        <v>48</v>
      </c>
      <c r="B41" s="7">
        <v>1202</v>
      </c>
      <c r="C41" s="8" t="s">
        <v>26</v>
      </c>
      <c r="D41" s="8" t="s">
        <v>26</v>
      </c>
      <c r="E41" s="8" t="s">
        <v>26</v>
      </c>
      <c r="F41" s="2" t="str">
        <f t="shared" si="0"/>
        <v>(    )</v>
      </c>
      <c r="G41" s="179" t="e">
        <f t="shared" si="1"/>
        <v>#VALUE!</v>
      </c>
      <c r="H41" s="179" t="e">
        <f t="shared" si="2"/>
        <v>#VALUE!</v>
      </c>
    </row>
    <row r="42" spans="1:8" ht="33" customHeight="1">
      <c r="A42" s="186" t="s">
        <v>122</v>
      </c>
      <c r="B42" s="6">
        <v>1210</v>
      </c>
      <c r="C42" s="2">
        <f>SUM(C8,C22,C32,C34,C38)</f>
        <v>24319.899999999998</v>
      </c>
      <c r="D42" s="2">
        <f>SUM(D8,D22,D32,D34,D38)</f>
        <v>26686.499999999996</v>
      </c>
      <c r="E42" s="2">
        <f>SUM(E8,E22,E32,E34,E38)</f>
        <v>22899.899999999998</v>
      </c>
      <c r="F42" s="2">
        <f t="shared" si="0"/>
        <v>26686.499999999996</v>
      </c>
      <c r="G42" s="8">
        <f t="shared" si="1"/>
        <v>3786.5999999999985</v>
      </c>
      <c r="H42" s="8">
        <f t="shared" si="2"/>
        <v>116.53544338621566</v>
      </c>
    </row>
    <row r="43" spans="1:8" ht="33" customHeight="1">
      <c r="A43" s="186" t="s">
        <v>123</v>
      </c>
      <c r="B43" s="6">
        <v>1220</v>
      </c>
      <c r="C43" s="2">
        <f>SUM(C9,C16,C25,C33,C35,C37)</f>
        <v>-25408.400000000001</v>
      </c>
      <c r="D43" s="2">
        <f>SUM(D9,D16,D25,D33,D35,D37)</f>
        <v>-28466.9</v>
      </c>
      <c r="E43" s="2">
        <f>SUM(E9,E16,E25,E33,E35,E37)</f>
        <v>-22899.899999999998</v>
      </c>
      <c r="F43" s="2">
        <f t="shared" si="0"/>
        <v>-28466.9</v>
      </c>
      <c r="G43" s="8">
        <f t="shared" si="1"/>
        <v>-5567.0000000000036</v>
      </c>
      <c r="H43" s="8">
        <f t="shared" si="2"/>
        <v>124.31014982598178</v>
      </c>
    </row>
    <row r="44" spans="1:8" ht="33" customHeight="1">
      <c r="A44" s="210" t="s">
        <v>138</v>
      </c>
      <c r="B44" s="210"/>
      <c r="C44" s="210"/>
      <c r="D44" s="210"/>
      <c r="E44" s="210"/>
      <c r="F44" s="210"/>
      <c r="G44" s="210"/>
      <c r="H44" s="210"/>
    </row>
    <row r="45" spans="1:8" ht="33" customHeight="1">
      <c r="A45" s="187" t="s">
        <v>56</v>
      </c>
      <c r="B45" s="174">
        <v>9000</v>
      </c>
      <c r="C45" s="8">
        <v>3997.3</v>
      </c>
      <c r="D45" s="8">
        <v>3359.9</v>
      </c>
      <c r="E45" s="8">
        <v>3143.4</v>
      </c>
      <c r="F45" s="8">
        <f>D45</f>
        <v>3359.9</v>
      </c>
      <c r="G45" s="14">
        <f t="shared" ref="G45:G50" si="3">F45-E45</f>
        <v>216.5</v>
      </c>
      <c r="H45" s="14">
        <f t="shared" ref="H45:H50" si="4">(F45/E45)*100</f>
        <v>106.88744671374944</v>
      </c>
    </row>
    <row r="46" spans="1:8" ht="33" customHeight="1">
      <c r="A46" s="187" t="s">
        <v>2</v>
      </c>
      <c r="B46" s="174">
        <v>9010</v>
      </c>
      <c r="C46" s="8">
        <v>15880.6</v>
      </c>
      <c r="D46" s="8">
        <v>17501.7</v>
      </c>
      <c r="E46" s="8">
        <v>13100.6</v>
      </c>
      <c r="F46" s="8">
        <f t="shared" ref="F46:F49" si="5">D46</f>
        <v>17501.7</v>
      </c>
      <c r="G46" s="14">
        <f t="shared" si="3"/>
        <v>4401.1000000000004</v>
      </c>
      <c r="H46" s="14">
        <f t="shared" si="4"/>
        <v>133.59464452009831</v>
      </c>
    </row>
    <row r="47" spans="1:8" ht="33" customHeight="1">
      <c r="A47" s="187" t="s">
        <v>3</v>
      </c>
      <c r="B47" s="174">
        <v>9020</v>
      </c>
      <c r="C47" s="8">
        <v>3390.5</v>
      </c>
      <c r="D47" s="8">
        <v>3668.3</v>
      </c>
      <c r="E47" s="8">
        <v>2816.8</v>
      </c>
      <c r="F47" s="8">
        <f t="shared" si="5"/>
        <v>3668.3</v>
      </c>
      <c r="G47" s="14">
        <f t="shared" si="3"/>
        <v>851.5</v>
      </c>
      <c r="H47" s="14">
        <f t="shared" si="4"/>
        <v>130.22933825617721</v>
      </c>
    </row>
    <row r="48" spans="1:8" ht="33" customHeight="1">
      <c r="A48" s="187" t="s">
        <v>4</v>
      </c>
      <c r="B48" s="174">
        <v>9030</v>
      </c>
      <c r="C48" s="8">
        <v>436.9</v>
      </c>
      <c r="D48" s="8">
        <v>744</v>
      </c>
      <c r="E48" s="8"/>
      <c r="F48" s="8">
        <f t="shared" si="5"/>
        <v>744</v>
      </c>
      <c r="G48" s="14">
        <f t="shared" si="3"/>
        <v>744</v>
      </c>
      <c r="H48" s="14" t="e">
        <f t="shared" si="4"/>
        <v>#DIV/0!</v>
      </c>
    </row>
    <row r="49" spans="1:8" ht="33" customHeight="1">
      <c r="A49" s="187" t="s">
        <v>6</v>
      </c>
      <c r="B49" s="174">
        <v>9040</v>
      </c>
      <c r="C49" s="8">
        <v>1703.1</v>
      </c>
      <c r="D49" s="8">
        <v>3193</v>
      </c>
      <c r="E49" s="8">
        <v>3839.1</v>
      </c>
      <c r="F49" s="8">
        <f t="shared" si="5"/>
        <v>3193</v>
      </c>
      <c r="G49" s="14">
        <f t="shared" si="3"/>
        <v>-646.09999999999991</v>
      </c>
      <c r="H49" s="14">
        <f t="shared" si="4"/>
        <v>83.170534760751224</v>
      </c>
    </row>
    <row r="50" spans="1:8" ht="33" customHeight="1">
      <c r="A50" s="189" t="s">
        <v>9</v>
      </c>
      <c r="B50" s="9">
        <v>9050</v>
      </c>
      <c r="C50" s="2">
        <f>SUM(C45:C49)</f>
        <v>25408.400000000001</v>
      </c>
      <c r="D50" s="2">
        <f>SUM(D45:D49)</f>
        <v>28466.9</v>
      </c>
      <c r="E50" s="2">
        <f>SUM(E45:E49)</f>
        <v>22899.899999999998</v>
      </c>
      <c r="F50" s="2">
        <f>SUM(F45:F49)</f>
        <v>28466.9</v>
      </c>
      <c r="G50" s="14">
        <f t="shared" si="3"/>
        <v>5567.0000000000036</v>
      </c>
      <c r="H50" s="14">
        <f t="shared" si="4"/>
        <v>124.31014982598178</v>
      </c>
    </row>
    <row r="51" spans="1:8" ht="33" customHeight="1">
      <c r="A51" s="205" t="s">
        <v>101</v>
      </c>
      <c r="B51" s="205"/>
      <c r="C51" s="205"/>
      <c r="D51" s="205"/>
      <c r="E51" s="205"/>
      <c r="F51" s="205"/>
      <c r="G51" s="205"/>
      <c r="H51" s="205"/>
    </row>
    <row r="52" spans="1:8" ht="69" customHeight="1">
      <c r="A52" s="190" t="s">
        <v>144</v>
      </c>
      <c r="B52" s="6">
        <v>2110</v>
      </c>
      <c r="C52" s="2">
        <f>SUM(C53:C56)</f>
        <v>-267.709</v>
      </c>
      <c r="D52" s="2">
        <f>SUM(D53:D56)</f>
        <v>-297.32550000000003</v>
      </c>
      <c r="E52" s="2">
        <f>SUM(E53:E56)</f>
        <v>-216.50900000000001</v>
      </c>
      <c r="F52" s="2">
        <f>SUM(F53:F56)</f>
        <v>-297.32550000000003</v>
      </c>
      <c r="G52" s="2">
        <f>F52-F52</f>
        <v>0</v>
      </c>
      <c r="H52" s="2">
        <f>(F52/E52)*100</f>
        <v>137.32708571006287</v>
      </c>
    </row>
    <row r="53" spans="1:8" ht="44.25" customHeight="1">
      <c r="A53" s="187" t="s">
        <v>53</v>
      </c>
      <c r="B53" s="7">
        <v>2111</v>
      </c>
      <c r="C53" s="8">
        <v>-29.5</v>
      </c>
      <c r="D53" s="8">
        <v>-34.799999999999997</v>
      </c>
      <c r="E53" s="8">
        <v>-20</v>
      </c>
      <c r="F53" s="8">
        <v>-34.799999999999997</v>
      </c>
      <c r="G53" s="8">
        <f t="shared" ref="G53:G68" si="6">F53-F53</f>
        <v>0</v>
      </c>
      <c r="H53" s="8">
        <f t="shared" ref="H53:H68" si="7">(F53/E53)*100</f>
        <v>173.99999999999997</v>
      </c>
    </row>
    <row r="54" spans="1:8" ht="45.75" customHeight="1">
      <c r="A54" s="191" t="s">
        <v>54</v>
      </c>
      <c r="B54" s="7">
        <v>2112</v>
      </c>
      <c r="C54" s="8" t="s">
        <v>26</v>
      </c>
      <c r="D54" s="8" t="s">
        <v>26</v>
      </c>
      <c r="E54" s="8" t="s">
        <v>26</v>
      </c>
      <c r="F54" s="8" t="s">
        <v>26</v>
      </c>
      <c r="G54" s="179" t="e">
        <f t="shared" si="6"/>
        <v>#VALUE!</v>
      </c>
      <c r="H54" s="179" t="e">
        <f t="shared" si="7"/>
        <v>#VALUE!</v>
      </c>
    </row>
    <row r="55" spans="1:8" ht="28.5" customHeight="1">
      <c r="A55" s="187" t="s">
        <v>61</v>
      </c>
      <c r="B55" s="7">
        <v>2113</v>
      </c>
      <c r="C55" s="8">
        <f>-C46*1.5/100</f>
        <v>-238.209</v>
      </c>
      <c r="D55" s="8">
        <f>-D46*1.5/100</f>
        <v>-262.52550000000002</v>
      </c>
      <c r="E55" s="8">
        <f>-E46*1.5/100</f>
        <v>-196.50900000000001</v>
      </c>
      <c r="F55" s="8">
        <f>D55</f>
        <v>-262.52550000000002</v>
      </c>
      <c r="G55" s="8">
        <f t="shared" si="6"/>
        <v>0</v>
      </c>
      <c r="H55" s="8">
        <f t="shared" si="7"/>
        <v>133.59464452009831</v>
      </c>
    </row>
    <row r="56" spans="1:8" ht="33" customHeight="1">
      <c r="A56" s="187" t="s">
        <v>40</v>
      </c>
      <c r="B56" s="7">
        <v>2114</v>
      </c>
      <c r="C56" s="8" t="s">
        <v>26</v>
      </c>
      <c r="D56" s="8" t="s">
        <v>26</v>
      </c>
      <c r="E56" s="8" t="s">
        <v>26</v>
      </c>
      <c r="F56" s="8" t="s">
        <v>26</v>
      </c>
      <c r="G56" s="179" t="e">
        <f t="shared" si="6"/>
        <v>#VALUE!</v>
      </c>
      <c r="H56" s="179" t="e">
        <f t="shared" si="7"/>
        <v>#VALUE!</v>
      </c>
    </row>
    <row r="57" spans="1:8" ht="43.5" customHeight="1">
      <c r="A57" s="192" t="s">
        <v>58</v>
      </c>
      <c r="B57" s="9">
        <v>2120</v>
      </c>
      <c r="C57" s="2">
        <f>SUM(C58:C63)</f>
        <v>-2858.7079999999996</v>
      </c>
      <c r="D57" s="2">
        <f>SUM(D58:D63)</f>
        <v>-3150.3060000000005</v>
      </c>
      <c r="E57" s="2">
        <f>SUM(E58:E63)</f>
        <v>-2358.5080000000003</v>
      </c>
      <c r="F57" s="2">
        <f>SUM(F58:F63)</f>
        <v>-3150.3060000000005</v>
      </c>
      <c r="G57" s="2">
        <f t="shared" si="6"/>
        <v>0</v>
      </c>
      <c r="H57" s="2">
        <f t="shared" si="7"/>
        <v>133.57198703587184</v>
      </c>
    </row>
    <row r="58" spans="1:8" ht="36" customHeight="1">
      <c r="A58" s="191" t="s">
        <v>38</v>
      </c>
      <c r="B58" s="174">
        <v>2121</v>
      </c>
      <c r="C58" s="8" t="s">
        <v>26</v>
      </c>
      <c r="D58" s="8" t="s">
        <v>26</v>
      </c>
      <c r="E58" s="8" t="s">
        <v>26</v>
      </c>
      <c r="F58" s="8" t="s">
        <v>26</v>
      </c>
      <c r="G58" s="179" t="e">
        <f t="shared" si="6"/>
        <v>#VALUE!</v>
      </c>
      <c r="H58" s="179" t="e">
        <f t="shared" si="7"/>
        <v>#VALUE!</v>
      </c>
    </row>
    <row r="59" spans="1:8" ht="33.75" customHeight="1">
      <c r="A59" s="187" t="s">
        <v>14</v>
      </c>
      <c r="B59" s="174">
        <v>2122</v>
      </c>
      <c r="C59" s="8">
        <f>-C46*18/100</f>
        <v>-2858.5079999999998</v>
      </c>
      <c r="D59" s="8">
        <f t="shared" ref="D59:E59" si="8">-D46*18/100</f>
        <v>-3150.3060000000005</v>
      </c>
      <c r="E59" s="8">
        <f t="shared" si="8"/>
        <v>-2358.1080000000002</v>
      </c>
      <c r="F59" s="8">
        <f>D59</f>
        <v>-3150.3060000000005</v>
      </c>
      <c r="G59" s="8">
        <f t="shared" ref="G59" si="9">F59-F59</f>
        <v>0</v>
      </c>
      <c r="H59" s="8">
        <f t="shared" ref="H59" si="10">(F59/E59)*100</f>
        <v>133.59464452009831</v>
      </c>
    </row>
    <row r="60" spans="1:8" ht="31.5" customHeight="1">
      <c r="A60" s="187" t="s">
        <v>44</v>
      </c>
      <c r="B60" s="174">
        <v>2123</v>
      </c>
      <c r="C60" s="8">
        <v>-0.2</v>
      </c>
      <c r="D60" s="8" t="s">
        <v>26</v>
      </c>
      <c r="E60" s="8">
        <v>-0.4</v>
      </c>
      <c r="F60" s="8" t="s">
        <v>26</v>
      </c>
      <c r="G60" s="179" t="e">
        <f t="shared" si="6"/>
        <v>#VALUE!</v>
      </c>
      <c r="H60" s="179" t="e">
        <f t="shared" si="7"/>
        <v>#VALUE!</v>
      </c>
    </row>
    <row r="61" spans="1:8" ht="31.5" customHeight="1">
      <c r="A61" s="187" t="s">
        <v>45</v>
      </c>
      <c r="B61" s="174">
        <v>2124</v>
      </c>
      <c r="C61" s="8" t="s">
        <v>26</v>
      </c>
      <c r="D61" s="8" t="s">
        <v>26</v>
      </c>
      <c r="E61" s="8" t="s">
        <v>26</v>
      </c>
      <c r="F61" s="8" t="s">
        <v>26</v>
      </c>
      <c r="G61" s="179" t="e">
        <f t="shared" si="6"/>
        <v>#VALUE!</v>
      </c>
      <c r="H61" s="179" t="e">
        <f t="shared" si="7"/>
        <v>#VALUE!</v>
      </c>
    </row>
    <row r="62" spans="1:8" ht="84.75" customHeight="1">
      <c r="A62" s="187" t="s">
        <v>124</v>
      </c>
      <c r="B62" s="174">
        <v>2125</v>
      </c>
      <c r="C62" s="8" t="s">
        <v>26</v>
      </c>
      <c r="D62" s="8" t="s">
        <v>26</v>
      </c>
      <c r="E62" s="8" t="s">
        <v>26</v>
      </c>
      <c r="F62" s="8" t="s">
        <v>26</v>
      </c>
      <c r="G62" s="179" t="e">
        <f t="shared" si="6"/>
        <v>#VALUE!</v>
      </c>
      <c r="H62" s="179" t="e">
        <f t="shared" si="7"/>
        <v>#VALUE!</v>
      </c>
    </row>
    <row r="63" spans="1:8" ht="31.5" customHeight="1">
      <c r="A63" s="187" t="s">
        <v>40</v>
      </c>
      <c r="B63" s="174">
        <v>2126</v>
      </c>
      <c r="C63" s="8" t="s">
        <v>26</v>
      </c>
      <c r="D63" s="8" t="s">
        <v>26</v>
      </c>
      <c r="E63" s="8" t="s">
        <v>26</v>
      </c>
      <c r="F63" s="8" t="s">
        <v>26</v>
      </c>
      <c r="G63" s="179" t="e">
        <f t="shared" si="6"/>
        <v>#VALUE!</v>
      </c>
      <c r="H63" s="179" t="e">
        <f t="shared" si="7"/>
        <v>#VALUE!</v>
      </c>
    </row>
    <row r="64" spans="1:8" ht="48" customHeight="1">
      <c r="A64" s="190" t="s">
        <v>59</v>
      </c>
      <c r="B64" s="9">
        <v>2130</v>
      </c>
      <c r="C64" s="2">
        <f>SUM(C65:C67)</f>
        <v>-3463.1</v>
      </c>
      <c r="D64" s="2">
        <f>SUM(D65:D67)</f>
        <v>-3758.2000000000003</v>
      </c>
      <c r="E64" s="2">
        <f>SUM(E65:E67)</f>
        <v>-2882.3</v>
      </c>
      <c r="F64" s="2">
        <f>SUM(F65:F67)</f>
        <v>-3758.2000000000003</v>
      </c>
      <c r="G64" s="2">
        <f t="shared" si="6"/>
        <v>0</v>
      </c>
      <c r="H64" s="2">
        <f t="shared" si="7"/>
        <v>130.38892551087673</v>
      </c>
    </row>
    <row r="65" spans="1:9" ht="33" customHeight="1">
      <c r="A65" s="187" t="s">
        <v>41</v>
      </c>
      <c r="B65" s="174">
        <v>2131</v>
      </c>
      <c r="C65" s="8" t="s">
        <v>26</v>
      </c>
      <c r="D65" s="8" t="s">
        <v>26</v>
      </c>
      <c r="E65" s="8" t="s">
        <v>26</v>
      </c>
      <c r="F65" s="8" t="s">
        <v>26</v>
      </c>
      <c r="G65" s="179" t="e">
        <f t="shared" si="6"/>
        <v>#VALUE!</v>
      </c>
      <c r="H65" s="179" t="e">
        <f t="shared" si="7"/>
        <v>#VALUE!</v>
      </c>
    </row>
    <row r="66" spans="1:9" ht="44.25" customHeight="1">
      <c r="A66" s="187" t="s">
        <v>42</v>
      </c>
      <c r="B66" s="174">
        <v>2132</v>
      </c>
      <c r="C66" s="8">
        <v>-3390.5</v>
      </c>
      <c r="D66" s="8">
        <v>-3668.3</v>
      </c>
      <c r="E66" s="8">
        <v>-2816.8</v>
      </c>
      <c r="F66" s="8">
        <f>D66</f>
        <v>-3668.3</v>
      </c>
      <c r="G66" s="8">
        <f t="shared" si="6"/>
        <v>0</v>
      </c>
      <c r="H66" s="8">
        <f t="shared" si="7"/>
        <v>130.22933825617721</v>
      </c>
    </row>
    <row r="67" spans="1:9" ht="35.25" customHeight="1">
      <c r="A67" s="187" t="s">
        <v>43</v>
      </c>
      <c r="B67" s="174">
        <v>2133</v>
      </c>
      <c r="C67" s="8">
        <v>-72.599999999999994</v>
      </c>
      <c r="D67" s="8">
        <v>-89.9</v>
      </c>
      <c r="E67" s="8">
        <v>-65.5</v>
      </c>
      <c r="F67" s="8">
        <v>-89.9</v>
      </c>
      <c r="G67" s="8">
        <f t="shared" si="6"/>
        <v>0</v>
      </c>
      <c r="H67" s="8">
        <f t="shared" si="7"/>
        <v>137.25190839694656</v>
      </c>
      <c r="I67" s="142" t="s">
        <v>316</v>
      </c>
    </row>
    <row r="68" spans="1:9" ht="30.75" customHeight="1">
      <c r="A68" s="192" t="s">
        <v>55</v>
      </c>
      <c r="B68" s="9">
        <v>2200</v>
      </c>
      <c r="C68" s="2">
        <f>SUM(C52+C57+C64)</f>
        <v>-6589.5169999999998</v>
      </c>
      <c r="D68" s="2">
        <f>SUM(D52+D57+D64)</f>
        <v>-7205.8315000000002</v>
      </c>
      <c r="E68" s="2">
        <f>SUM(E52+E57+E64)</f>
        <v>-5457.3170000000009</v>
      </c>
      <c r="F68" s="2">
        <f>SUM(F52+F57+F64)</f>
        <v>-7205.8315000000002</v>
      </c>
      <c r="G68" s="2">
        <f t="shared" si="6"/>
        <v>0</v>
      </c>
      <c r="H68" s="2">
        <f t="shared" si="7"/>
        <v>132.03981920053388</v>
      </c>
    </row>
    <row r="69" spans="1:9" ht="33" customHeight="1">
      <c r="A69" s="206" t="s">
        <v>102</v>
      </c>
      <c r="B69" s="206"/>
      <c r="C69" s="206"/>
      <c r="D69" s="206"/>
      <c r="E69" s="206"/>
      <c r="F69" s="206"/>
      <c r="G69" s="206"/>
      <c r="H69" s="206"/>
    </row>
    <row r="70" spans="1:9" ht="27.75" customHeight="1">
      <c r="A70" s="186" t="s">
        <v>19</v>
      </c>
      <c r="B70" s="6">
        <v>4000</v>
      </c>
      <c r="C70" s="2">
        <f>SUM(C71:C77)</f>
        <v>-82.6</v>
      </c>
      <c r="D70" s="2">
        <f>SUM(D71:D77)</f>
        <v>-489.4</v>
      </c>
      <c r="E70" s="2">
        <f>SUM(E71:E77)</f>
        <v>0</v>
      </c>
      <c r="F70" s="2">
        <f>SUM(F71:F77)</f>
        <v>-489.4</v>
      </c>
      <c r="G70" s="2">
        <f>F70-E70</f>
        <v>-489.4</v>
      </c>
      <c r="H70" s="2" t="e">
        <f>(F70/E70)*100</f>
        <v>#DIV/0!</v>
      </c>
    </row>
    <row r="71" spans="1:9" ht="37.5" customHeight="1">
      <c r="A71" s="187" t="s">
        <v>62</v>
      </c>
      <c r="B71" s="7">
        <v>4010</v>
      </c>
      <c r="C71" s="8" t="s">
        <v>26</v>
      </c>
      <c r="D71" s="8" t="s">
        <v>26</v>
      </c>
      <c r="E71" s="8" t="s">
        <v>26</v>
      </c>
      <c r="F71" s="8" t="s">
        <v>26</v>
      </c>
      <c r="G71" s="179" t="e">
        <f t="shared" ref="G71:G77" si="11">F71-E71</f>
        <v>#VALUE!</v>
      </c>
      <c r="H71" s="179" t="e">
        <f t="shared" ref="H71:H77" si="12">(F71/E71)*100</f>
        <v>#VALUE!</v>
      </c>
    </row>
    <row r="72" spans="1:9" ht="48.75" customHeight="1">
      <c r="A72" s="187" t="s">
        <v>134</v>
      </c>
      <c r="B72" s="7">
        <v>4020</v>
      </c>
      <c r="C72" s="8">
        <v>-55.6</v>
      </c>
      <c r="D72" s="8">
        <v>-162.5</v>
      </c>
      <c r="E72" s="8" t="s">
        <v>26</v>
      </c>
      <c r="F72" s="8">
        <v>-162.5</v>
      </c>
      <c r="G72" s="179" t="e">
        <f t="shared" si="11"/>
        <v>#VALUE!</v>
      </c>
      <c r="H72" s="179" t="e">
        <f t="shared" si="12"/>
        <v>#VALUE!</v>
      </c>
    </row>
    <row r="73" spans="1:9" ht="48.75" customHeight="1">
      <c r="A73" s="187" t="s">
        <v>71</v>
      </c>
      <c r="B73" s="7">
        <v>4030</v>
      </c>
      <c r="C73" s="8">
        <v>-27</v>
      </c>
      <c r="D73" s="8">
        <v>-22</v>
      </c>
      <c r="E73" s="8" t="s">
        <v>26</v>
      </c>
      <c r="F73" s="8">
        <v>-22</v>
      </c>
      <c r="G73" s="179" t="e">
        <f t="shared" si="11"/>
        <v>#VALUE!</v>
      </c>
      <c r="H73" s="179" t="e">
        <f t="shared" si="12"/>
        <v>#VALUE!</v>
      </c>
    </row>
    <row r="74" spans="1:9" ht="49.5" customHeight="1">
      <c r="A74" s="187" t="s">
        <v>135</v>
      </c>
      <c r="B74" s="7">
        <v>4040</v>
      </c>
      <c r="C74" s="8" t="s">
        <v>26</v>
      </c>
      <c r="D74" s="8" t="s">
        <v>26</v>
      </c>
      <c r="E74" s="8" t="s">
        <v>26</v>
      </c>
      <c r="F74" s="8" t="s">
        <v>26</v>
      </c>
      <c r="G74" s="179" t="e">
        <f t="shared" si="11"/>
        <v>#VALUE!</v>
      </c>
      <c r="H74" s="179" t="e">
        <f t="shared" si="12"/>
        <v>#VALUE!</v>
      </c>
    </row>
    <row r="75" spans="1:9" ht="73.5" customHeight="1">
      <c r="A75" s="187" t="s">
        <v>63</v>
      </c>
      <c r="B75" s="7">
        <v>4050</v>
      </c>
      <c r="C75" s="8" t="s">
        <v>26</v>
      </c>
      <c r="D75" s="8" t="s">
        <v>26</v>
      </c>
      <c r="E75" s="8" t="s">
        <v>26</v>
      </c>
      <c r="F75" s="8" t="s">
        <v>26</v>
      </c>
      <c r="G75" s="179" t="e">
        <f t="shared" si="11"/>
        <v>#VALUE!</v>
      </c>
      <c r="H75" s="179" t="e">
        <f t="shared" si="12"/>
        <v>#VALUE!</v>
      </c>
    </row>
    <row r="76" spans="1:9" ht="36.75" customHeight="1">
      <c r="A76" s="187" t="s">
        <v>64</v>
      </c>
      <c r="B76" s="7">
        <v>4060</v>
      </c>
      <c r="C76" s="8" t="s">
        <v>26</v>
      </c>
      <c r="D76" s="8">
        <v>-304.89999999999998</v>
      </c>
      <c r="E76" s="8" t="s">
        <v>26</v>
      </c>
      <c r="F76" s="8">
        <v>-304.89999999999998</v>
      </c>
      <c r="G76" s="179" t="e">
        <f t="shared" si="11"/>
        <v>#VALUE!</v>
      </c>
      <c r="H76" s="179" t="e">
        <f t="shared" si="12"/>
        <v>#VALUE!</v>
      </c>
    </row>
    <row r="77" spans="1:9" ht="39.75" customHeight="1">
      <c r="A77" s="187" t="s">
        <v>50</v>
      </c>
      <c r="B77" s="7">
        <v>4070</v>
      </c>
      <c r="C77" s="8" t="s">
        <v>26</v>
      </c>
      <c r="D77" s="8" t="s">
        <v>26</v>
      </c>
      <c r="E77" s="8" t="s">
        <v>26</v>
      </c>
      <c r="F77" s="8" t="s">
        <v>26</v>
      </c>
      <c r="G77" s="179" t="e">
        <f t="shared" si="11"/>
        <v>#VALUE!</v>
      </c>
      <c r="H77" s="179" t="e">
        <f t="shared" si="12"/>
        <v>#VALUE!</v>
      </c>
    </row>
    <row r="78" spans="1:9" ht="36.75" customHeight="1">
      <c r="A78" s="205" t="s">
        <v>103</v>
      </c>
      <c r="B78" s="205"/>
      <c r="C78" s="205"/>
      <c r="D78" s="205"/>
      <c r="E78" s="205"/>
      <c r="F78" s="205"/>
      <c r="G78" s="205"/>
      <c r="H78" s="205"/>
    </row>
    <row r="79" spans="1:9" ht="46.5" customHeight="1">
      <c r="A79" s="69"/>
      <c r="B79" s="69"/>
      <c r="C79" s="207" t="s">
        <v>128</v>
      </c>
      <c r="D79" s="207"/>
      <c r="E79" s="208" t="s">
        <v>238</v>
      </c>
      <c r="F79" s="208"/>
      <c r="G79" s="208"/>
      <c r="H79" s="208"/>
    </row>
    <row r="80" spans="1:9" ht="45" customHeight="1">
      <c r="A80" s="69"/>
      <c r="B80" s="69"/>
      <c r="C80" s="174" t="s">
        <v>239</v>
      </c>
      <c r="D80" s="174" t="s">
        <v>237</v>
      </c>
      <c r="E80" s="5" t="s">
        <v>113</v>
      </c>
      <c r="F80" s="5" t="s">
        <v>114</v>
      </c>
      <c r="G80" s="5" t="s">
        <v>115</v>
      </c>
      <c r="H80" s="5" t="s">
        <v>116</v>
      </c>
    </row>
    <row r="81" spans="1:17" s="47" customFormat="1" ht="86.25" customHeight="1">
      <c r="A81" s="192" t="s">
        <v>136</v>
      </c>
      <c r="B81" s="11" t="s">
        <v>30</v>
      </c>
      <c r="C81" s="12">
        <f>SUM(C82:C84)</f>
        <v>555</v>
      </c>
      <c r="D81" s="12">
        <f>SUM(D82:D84)</f>
        <v>524</v>
      </c>
      <c r="E81" s="12">
        <f>SUM(E82:E84)</f>
        <v>524</v>
      </c>
      <c r="F81" s="12">
        <f>SUM(F82:F84)</f>
        <v>524</v>
      </c>
      <c r="G81" s="12" t="s">
        <v>137</v>
      </c>
      <c r="H81" s="3" t="s">
        <v>137</v>
      </c>
    </row>
    <row r="82" spans="1:17" ht="27.75" customHeight="1">
      <c r="A82" s="188" t="s">
        <v>21</v>
      </c>
      <c r="B82" s="7" t="s">
        <v>31</v>
      </c>
      <c r="C82" s="13">
        <v>1</v>
      </c>
      <c r="D82" s="13">
        <v>1</v>
      </c>
      <c r="E82" s="13">
        <v>1</v>
      </c>
      <c r="F82" s="13">
        <v>1</v>
      </c>
      <c r="G82" s="13" t="s">
        <v>137</v>
      </c>
      <c r="H82" s="14" t="s">
        <v>137</v>
      </c>
      <c r="K82" s="152"/>
      <c r="L82" s="152"/>
    </row>
    <row r="83" spans="1:17" ht="27.75" customHeight="1">
      <c r="A83" s="188" t="s">
        <v>24</v>
      </c>
      <c r="B83" s="7" t="s">
        <v>32</v>
      </c>
      <c r="C83" s="13">
        <v>58</v>
      </c>
      <c r="D83" s="13">
        <v>50</v>
      </c>
      <c r="E83" s="13">
        <v>58</v>
      </c>
      <c r="F83" s="13">
        <v>50</v>
      </c>
      <c r="G83" s="13" t="s">
        <v>137</v>
      </c>
      <c r="H83" s="14" t="s">
        <v>137</v>
      </c>
      <c r="J83" s="152"/>
      <c r="K83" s="152"/>
      <c r="L83" s="155"/>
    </row>
    <row r="84" spans="1:17" ht="27.75" customHeight="1">
      <c r="A84" s="188" t="s">
        <v>22</v>
      </c>
      <c r="B84" s="7" t="s">
        <v>33</v>
      </c>
      <c r="C84" s="13">
        <v>496</v>
      </c>
      <c r="D84" s="13">
        <v>473</v>
      </c>
      <c r="E84" s="13">
        <v>465</v>
      </c>
      <c r="F84" s="13">
        <v>473</v>
      </c>
      <c r="G84" s="13" t="s">
        <v>137</v>
      </c>
      <c r="H84" s="14" t="s">
        <v>137</v>
      </c>
      <c r="J84" s="152"/>
      <c r="K84" s="152"/>
      <c r="L84" s="155"/>
    </row>
    <row r="85" spans="1:17" ht="27.75" customHeight="1">
      <c r="A85" s="186" t="s">
        <v>72</v>
      </c>
      <c r="B85" s="6" t="s">
        <v>34</v>
      </c>
      <c r="C85" s="2">
        <f>SUM(C86:C88)</f>
        <v>15880.599999999999</v>
      </c>
      <c r="D85" s="2">
        <f>SUM(D86:D88)</f>
        <v>17501.7</v>
      </c>
      <c r="E85" s="2">
        <f>SUM(E86:E88)</f>
        <v>13100.6</v>
      </c>
      <c r="F85" s="2">
        <f>SUM(F86:F88)</f>
        <v>17501.7</v>
      </c>
      <c r="G85" s="3" t="s">
        <v>137</v>
      </c>
      <c r="H85" s="3" t="s">
        <v>137</v>
      </c>
      <c r="J85" s="152"/>
      <c r="K85" s="152"/>
    </row>
    <row r="86" spans="1:17" ht="27.75" customHeight="1">
      <c r="A86" s="188" t="s">
        <v>21</v>
      </c>
      <c r="B86" s="7">
        <v>8011</v>
      </c>
      <c r="C86" s="8">
        <v>28.6</v>
      </c>
      <c r="D86" s="8">
        <v>43.2</v>
      </c>
      <c r="E86" s="153">
        <v>25</v>
      </c>
      <c r="F86" s="153">
        <f>D86</f>
        <v>43.2</v>
      </c>
      <c r="G86" s="14" t="s">
        <v>137</v>
      </c>
      <c r="H86" s="14" t="s">
        <v>137</v>
      </c>
      <c r="J86" s="152"/>
      <c r="K86" s="152"/>
      <c r="M86" s="154"/>
      <c r="Q86" s="152"/>
    </row>
    <row r="87" spans="1:17" ht="27.75" customHeight="1">
      <c r="A87" s="188" t="s">
        <v>24</v>
      </c>
      <c r="B87" s="7">
        <v>8012</v>
      </c>
      <c r="C87" s="8">
        <v>1659.6</v>
      </c>
      <c r="D87" s="8">
        <v>1670</v>
      </c>
      <c r="E87" s="153">
        <v>1450.1</v>
      </c>
      <c r="F87" s="153">
        <f t="shared" ref="F87:F88" si="13">D87</f>
        <v>1670</v>
      </c>
      <c r="G87" s="14" t="s">
        <v>137</v>
      </c>
      <c r="H87" s="14" t="s">
        <v>137</v>
      </c>
      <c r="J87" s="152"/>
      <c r="K87" s="152"/>
      <c r="Q87" s="152"/>
    </row>
    <row r="88" spans="1:17" ht="27.75" customHeight="1">
      <c r="A88" s="188" t="s">
        <v>22</v>
      </c>
      <c r="B88" s="7">
        <v>8013</v>
      </c>
      <c r="C88" s="8">
        <v>14192.4</v>
      </c>
      <c r="D88" s="8">
        <v>15788.5</v>
      </c>
      <c r="E88" s="153">
        <v>11625.5</v>
      </c>
      <c r="F88" s="153">
        <f t="shared" si="13"/>
        <v>15788.5</v>
      </c>
      <c r="G88" s="14" t="s">
        <v>137</v>
      </c>
      <c r="H88" s="14" t="s">
        <v>137</v>
      </c>
      <c r="J88" s="152"/>
      <c r="K88" s="152"/>
      <c r="M88" s="152"/>
      <c r="Q88" s="152"/>
    </row>
    <row r="89" spans="1:17" ht="27.75" customHeight="1">
      <c r="A89" s="186" t="s">
        <v>2</v>
      </c>
      <c r="B89" s="6">
        <v>8020</v>
      </c>
      <c r="C89" s="2">
        <f>C46</f>
        <v>15880.6</v>
      </c>
      <c r="D89" s="2">
        <f>D46</f>
        <v>17501.7</v>
      </c>
      <c r="E89" s="2">
        <f>E46</f>
        <v>13100.6</v>
      </c>
      <c r="F89" s="2">
        <f>F46</f>
        <v>17501.7</v>
      </c>
      <c r="G89" s="3" t="s">
        <v>137</v>
      </c>
      <c r="H89" s="3" t="s">
        <v>137</v>
      </c>
      <c r="J89" s="152"/>
      <c r="K89" s="152"/>
      <c r="Q89" s="152"/>
    </row>
    <row r="90" spans="1:17" ht="27.75" customHeight="1">
      <c r="A90" s="188" t="s">
        <v>21</v>
      </c>
      <c r="B90" s="7">
        <v>8021</v>
      </c>
      <c r="C90" s="8">
        <v>92.2</v>
      </c>
      <c r="D90" s="8">
        <v>99.3</v>
      </c>
      <c r="E90" s="153">
        <v>102.2</v>
      </c>
      <c r="F90" s="153">
        <f>D90</f>
        <v>99.3</v>
      </c>
      <c r="G90" s="14" t="s">
        <v>137</v>
      </c>
      <c r="H90" s="14" t="s">
        <v>137</v>
      </c>
      <c r="J90" s="152"/>
      <c r="K90" s="152"/>
    </row>
    <row r="91" spans="1:17" ht="27.75" customHeight="1">
      <c r="A91" s="188" t="s">
        <v>24</v>
      </c>
      <c r="B91" s="7">
        <v>8022</v>
      </c>
      <c r="C91" s="8">
        <f t="shared" ref="C91:D91" si="14">C87</f>
        <v>1659.6</v>
      </c>
      <c r="D91" s="8">
        <f t="shared" si="14"/>
        <v>1670</v>
      </c>
      <c r="E91" s="153">
        <f>E87</f>
        <v>1450.1</v>
      </c>
      <c r="F91" s="153">
        <f>D91</f>
        <v>1670</v>
      </c>
      <c r="G91" s="14" t="s">
        <v>137</v>
      </c>
      <c r="H91" s="14" t="s">
        <v>137</v>
      </c>
      <c r="J91" s="152"/>
      <c r="K91" s="155"/>
    </row>
    <row r="92" spans="1:17" ht="27.75" customHeight="1">
      <c r="A92" s="188" t="s">
        <v>22</v>
      </c>
      <c r="B92" s="7">
        <v>8023</v>
      </c>
      <c r="C92" s="8">
        <v>14128.8</v>
      </c>
      <c r="D92" s="8">
        <v>15732.4</v>
      </c>
      <c r="E92" s="153">
        <v>11548.3</v>
      </c>
      <c r="F92" s="153">
        <f t="shared" ref="F92" si="15">D92</f>
        <v>15732.4</v>
      </c>
      <c r="G92" s="14" t="s">
        <v>137</v>
      </c>
      <c r="H92" s="14" t="s">
        <v>137</v>
      </c>
      <c r="J92" s="152"/>
    </row>
    <row r="93" spans="1:17" s="47" customFormat="1" ht="66" customHeight="1">
      <c r="A93" s="192" t="s">
        <v>49</v>
      </c>
      <c r="B93" s="11" t="s">
        <v>73</v>
      </c>
      <c r="C93" s="12">
        <f t="shared" ref="C93:F94" si="16">(C89/C81)/3*1000</f>
        <v>9537.8978978978976</v>
      </c>
      <c r="D93" s="12">
        <f t="shared" si="16"/>
        <v>11133.396946564886</v>
      </c>
      <c r="E93" s="12">
        <f t="shared" si="16"/>
        <v>8333.7150127226469</v>
      </c>
      <c r="F93" s="12">
        <f t="shared" si="16"/>
        <v>11133.396946564886</v>
      </c>
      <c r="G93" s="12" t="s">
        <v>137</v>
      </c>
      <c r="H93" s="3" t="s">
        <v>137</v>
      </c>
    </row>
    <row r="94" spans="1:17" ht="27.75" customHeight="1">
      <c r="A94" s="188" t="s">
        <v>21</v>
      </c>
      <c r="B94" s="7">
        <v>8031</v>
      </c>
      <c r="C94" s="13">
        <f t="shared" si="16"/>
        <v>30733.333333333336</v>
      </c>
      <c r="D94" s="13">
        <f t="shared" si="16"/>
        <v>33100</v>
      </c>
      <c r="E94" s="13">
        <f t="shared" si="16"/>
        <v>34066.666666666672</v>
      </c>
      <c r="F94" s="13">
        <f t="shared" si="16"/>
        <v>33100</v>
      </c>
      <c r="G94" s="13" t="s">
        <v>137</v>
      </c>
      <c r="H94" s="14" t="s">
        <v>137</v>
      </c>
    </row>
    <row r="95" spans="1:17" ht="27.75" customHeight="1">
      <c r="A95" s="188" t="s">
        <v>24</v>
      </c>
      <c r="B95" s="7">
        <v>8032</v>
      </c>
      <c r="C95" s="13">
        <f>(C91/C83)/3*1000</f>
        <v>9537.9310344827591</v>
      </c>
      <c r="D95" s="13">
        <f t="shared" ref="D95:D96" si="17">(D91/D83)/3*1000</f>
        <v>11133.333333333332</v>
      </c>
      <c r="E95" s="13">
        <f>(E91/E83)/3*1000</f>
        <v>8333.9080459770103</v>
      </c>
      <c r="F95" s="13">
        <f>(F91/F83)/3*1000</f>
        <v>11133.333333333332</v>
      </c>
      <c r="G95" s="13" t="s">
        <v>137</v>
      </c>
      <c r="H95" s="14" t="s">
        <v>137</v>
      </c>
    </row>
    <row r="96" spans="1:17" ht="27.75" customHeight="1">
      <c r="A96" s="188" t="s">
        <v>22</v>
      </c>
      <c r="B96" s="7">
        <v>8033</v>
      </c>
      <c r="C96" s="13">
        <f>(C92/C84)/3*1000</f>
        <v>9495.1612903225796</v>
      </c>
      <c r="D96" s="13">
        <f t="shared" si="17"/>
        <v>11086.962649753346</v>
      </c>
      <c r="E96" s="13">
        <f>(E92/E84)/3*1000</f>
        <v>8278.351254480287</v>
      </c>
      <c r="F96" s="13">
        <f>(F92/F84)/3*1000</f>
        <v>11086.962649753346</v>
      </c>
      <c r="G96" s="13" t="s">
        <v>137</v>
      </c>
      <c r="H96" s="14" t="s">
        <v>137</v>
      </c>
    </row>
    <row r="97" spans="1:9" s="47" customFormat="1">
      <c r="A97" s="145"/>
      <c r="C97" s="146"/>
      <c r="D97" s="147"/>
      <c r="E97" s="148"/>
      <c r="F97" s="148"/>
      <c r="G97" s="148"/>
      <c r="H97" s="148"/>
    </row>
    <row r="98" spans="1:9" s="47" customFormat="1">
      <c r="A98" s="145"/>
      <c r="C98" s="146"/>
      <c r="D98" s="147"/>
      <c r="E98" s="148"/>
      <c r="F98" s="148"/>
      <c r="G98" s="148"/>
      <c r="H98" s="148"/>
    </row>
    <row r="99" spans="1:9" s="47" customFormat="1" ht="28.5" customHeight="1">
      <c r="A99" s="185" t="s">
        <v>317</v>
      </c>
      <c r="B99" s="149"/>
      <c r="C99" s="203"/>
      <c r="D99" s="204"/>
      <c r="E99" s="150"/>
      <c r="F99" s="150"/>
      <c r="G99" s="209" t="s">
        <v>234</v>
      </c>
      <c r="H99" s="209"/>
      <c r="I99" s="108"/>
    </row>
    <row r="100" spans="1:9" s="47" customFormat="1">
      <c r="A100" s="47" t="s">
        <v>10</v>
      </c>
      <c r="B100" s="142"/>
      <c r="C100" s="201" t="s">
        <v>11</v>
      </c>
      <c r="D100" s="201"/>
      <c r="E100" s="143"/>
      <c r="F100" s="143"/>
      <c r="G100" s="202" t="s">
        <v>16</v>
      </c>
      <c r="H100" s="202"/>
    </row>
    <row r="101" spans="1:9" s="47" customFormat="1">
      <c r="A101" s="151"/>
      <c r="E101" s="142"/>
      <c r="F101" s="142"/>
      <c r="G101" s="142"/>
      <c r="H101" s="142"/>
    </row>
    <row r="102" spans="1:9" s="47" customFormat="1">
      <c r="A102" s="151"/>
      <c r="E102" s="142"/>
      <c r="F102" s="142"/>
      <c r="G102" s="142"/>
      <c r="H102" s="142"/>
    </row>
    <row r="103" spans="1:9" s="47" customFormat="1">
      <c r="A103" s="151"/>
      <c r="E103" s="142"/>
      <c r="F103" s="142"/>
      <c r="G103" s="142"/>
      <c r="H103" s="142"/>
    </row>
    <row r="104" spans="1:9" s="47" customFormat="1">
      <c r="A104" s="151"/>
      <c r="E104" s="142"/>
      <c r="F104" s="142"/>
      <c r="G104" s="142"/>
      <c r="H104" s="142"/>
    </row>
    <row r="105" spans="1:9" s="47" customFormat="1">
      <c r="A105" s="151"/>
      <c r="E105" s="142"/>
      <c r="F105" s="142"/>
      <c r="G105" s="142"/>
      <c r="H105" s="142"/>
    </row>
    <row r="106" spans="1:9" s="47" customFormat="1">
      <c r="A106" s="151"/>
      <c r="E106" s="142"/>
      <c r="F106" s="142"/>
      <c r="G106" s="142"/>
      <c r="H106" s="142"/>
    </row>
    <row r="107" spans="1:9" s="47" customFormat="1">
      <c r="A107" s="151"/>
      <c r="E107" s="142"/>
      <c r="F107" s="142"/>
      <c r="G107" s="142"/>
      <c r="H107" s="142"/>
    </row>
    <row r="108" spans="1:9" s="47" customFormat="1">
      <c r="A108" s="151"/>
      <c r="E108" s="142"/>
      <c r="F108" s="142"/>
      <c r="G108" s="142"/>
      <c r="H108" s="142"/>
    </row>
    <row r="109" spans="1:9" s="47" customFormat="1">
      <c r="A109" s="151"/>
      <c r="E109" s="142"/>
      <c r="F109" s="142"/>
      <c r="G109" s="142"/>
      <c r="H109" s="142"/>
    </row>
    <row r="110" spans="1:9" s="47" customFormat="1">
      <c r="A110" s="151"/>
      <c r="E110" s="142"/>
      <c r="F110" s="142"/>
      <c r="G110" s="142"/>
      <c r="H110" s="142"/>
    </row>
    <row r="111" spans="1:9" s="47" customFormat="1">
      <c r="A111" s="151"/>
      <c r="E111" s="142"/>
      <c r="F111" s="142"/>
      <c r="G111" s="142"/>
      <c r="H111" s="142"/>
    </row>
    <row r="112" spans="1:9" s="47" customFormat="1">
      <c r="A112" s="151"/>
      <c r="E112" s="142"/>
      <c r="F112" s="142"/>
      <c r="G112" s="142"/>
      <c r="H112" s="142"/>
    </row>
    <row r="113" spans="1:8" s="47" customFormat="1">
      <c r="A113" s="151"/>
      <c r="E113" s="142"/>
      <c r="F113" s="142"/>
      <c r="G113" s="142"/>
      <c r="H113" s="142"/>
    </row>
    <row r="114" spans="1:8" s="47" customFormat="1">
      <c r="A114" s="151"/>
      <c r="E114" s="142"/>
      <c r="F114" s="142"/>
      <c r="G114" s="142"/>
      <c r="H114" s="142"/>
    </row>
    <row r="115" spans="1:8" s="47" customFormat="1">
      <c r="A115" s="151"/>
      <c r="E115" s="142"/>
      <c r="F115" s="142"/>
      <c r="G115" s="142"/>
      <c r="H115" s="142"/>
    </row>
    <row r="116" spans="1:8" s="47" customFormat="1">
      <c r="A116" s="151"/>
      <c r="E116" s="142"/>
      <c r="F116" s="142"/>
      <c r="G116" s="142"/>
      <c r="H116" s="142"/>
    </row>
    <row r="117" spans="1:8" s="47" customFormat="1">
      <c r="A117" s="151"/>
      <c r="E117" s="142"/>
      <c r="F117" s="142"/>
      <c r="G117" s="142"/>
      <c r="H117" s="142"/>
    </row>
    <row r="118" spans="1:8" s="47" customFormat="1">
      <c r="A118" s="151"/>
      <c r="E118" s="142"/>
      <c r="F118" s="142"/>
      <c r="G118" s="142"/>
      <c r="H118" s="142"/>
    </row>
    <row r="119" spans="1:8" s="47" customFormat="1">
      <c r="A119" s="151"/>
      <c r="E119" s="142"/>
      <c r="F119" s="142"/>
      <c r="G119" s="142"/>
      <c r="H119" s="142"/>
    </row>
    <row r="120" spans="1:8" s="47" customFormat="1">
      <c r="A120" s="151"/>
      <c r="E120" s="142"/>
      <c r="F120" s="142"/>
      <c r="G120" s="142"/>
      <c r="H120" s="142"/>
    </row>
    <row r="121" spans="1:8" s="47" customFormat="1">
      <c r="A121" s="151"/>
      <c r="E121" s="142"/>
      <c r="F121" s="142"/>
      <c r="G121" s="142"/>
      <c r="H121" s="142"/>
    </row>
    <row r="122" spans="1:8" s="47" customFormat="1">
      <c r="A122" s="151"/>
      <c r="E122" s="142"/>
      <c r="F122" s="142"/>
      <c r="G122" s="142"/>
      <c r="H122" s="142"/>
    </row>
    <row r="123" spans="1:8" s="47" customFormat="1">
      <c r="A123" s="151"/>
      <c r="E123" s="142"/>
      <c r="F123" s="142"/>
      <c r="G123" s="142"/>
      <c r="H123" s="142"/>
    </row>
    <row r="124" spans="1:8" s="47" customFormat="1">
      <c r="A124" s="151"/>
      <c r="E124" s="142"/>
      <c r="F124" s="142"/>
      <c r="G124" s="142"/>
      <c r="H124" s="142"/>
    </row>
    <row r="125" spans="1:8" s="47" customFormat="1">
      <c r="A125" s="151"/>
      <c r="E125" s="142"/>
      <c r="F125" s="142"/>
      <c r="G125" s="142"/>
      <c r="H125" s="142"/>
    </row>
    <row r="126" spans="1:8" s="47" customFormat="1">
      <c r="A126" s="151"/>
      <c r="E126" s="142"/>
      <c r="F126" s="142"/>
      <c r="G126" s="142"/>
      <c r="H126" s="142"/>
    </row>
    <row r="127" spans="1:8" s="47" customFormat="1">
      <c r="A127" s="151"/>
      <c r="E127" s="142"/>
      <c r="F127" s="142"/>
      <c r="G127" s="142"/>
      <c r="H127" s="142"/>
    </row>
    <row r="128" spans="1:8" s="47" customFormat="1">
      <c r="A128" s="151"/>
      <c r="E128" s="142"/>
      <c r="F128" s="142"/>
      <c r="G128" s="142"/>
      <c r="H128" s="142"/>
    </row>
    <row r="129" spans="1:8" s="47" customFormat="1">
      <c r="A129" s="151"/>
      <c r="E129" s="142"/>
      <c r="F129" s="142"/>
      <c r="G129" s="142"/>
      <c r="H129" s="142"/>
    </row>
    <row r="130" spans="1:8" s="47" customFormat="1">
      <c r="A130" s="151"/>
      <c r="E130" s="142"/>
      <c r="F130" s="142"/>
      <c r="G130" s="142"/>
      <c r="H130" s="142"/>
    </row>
    <row r="131" spans="1:8" s="47" customFormat="1">
      <c r="A131" s="151"/>
      <c r="E131" s="142"/>
      <c r="F131" s="142"/>
      <c r="G131" s="142"/>
      <c r="H131" s="142"/>
    </row>
    <row r="132" spans="1:8" s="47" customFormat="1">
      <c r="A132" s="151"/>
      <c r="E132" s="142"/>
      <c r="F132" s="142"/>
      <c r="G132" s="142"/>
      <c r="H132" s="142"/>
    </row>
    <row r="133" spans="1:8" s="47" customFormat="1">
      <c r="A133" s="151"/>
      <c r="E133" s="142"/>
      <c r="F133" s="142"/>
      <c r="G133" s="142"/>
      <c r="H133" s="142"/>
    </row>
    <row r="134" spans="1:8" s="47" customFormat="1">
      <c r="A134" s="151"/>
      <c r="E134" s="142"/>
      <c r="F134" s="142"/>
      <c r="G134" s="142"/>
      <c r="H134" s="142"/>
    </row>
    <row r="135" spans="1:8" s="47" customFormat="1">
      <c r="A135" s="151"/>
      <c r="E135" s="142"/>
      <c r="F135" s="142"/>
      <c r="G135" s="142"/>
      <c r="H135" s="142"/>
    </row>
    <row r="136" spans="1:8" s="47" customFormat="1">
      <c r="A136" s="151"/>
      <c r="E136" s="142"/>
      <c r="F136" s="142"/>
      <c r="G136" s="142"/>
      <c r="H136" s="142"/>
    </row>
    <row r="137" spans="1:8" s="47" customFormat="1">
      <c r="A137" s="151"/>
      <c r="E137" s="142"/>
      <c r="F137" s="142"/>
      <c r="G137" s="142"/>
      <c r="H137" s="142"/>
    </row>
    <row r="138" spans="1:8" s="47" customFormat="1">
      <c r="A138" s="151"/>
      <c r="E138" s="142"/>
      <c r="F138" s="142"/>
      <c r="G138" s="142"/>
      <c r="H138" s="142"/>
    </row>
    <row r="139" spans="1:8" s="47" customFormat="1">
      <c r="A139" s="151"/>
      <c r="E139" s="142"/>
      <c r="F139" s="142"/>
      <c r="G139" s="142"/>
      <c r="H139" s="142"/>
    </row>
    <row r="140" spans="1:8" s="47" customFormat="1">
      <c r="A140" s="151"/>
      <c r="E140" s="142"/>
      <c r="F140" s="142"/>
      <c r="G140" s="142"/>
      <c r="H140" s="142"/>
    </row>
    <row r="141" spans="1:8" s="47" customFormat="1">
      <c r="A141" s="151"/>
      <c r="E141" s="142"/>
      <c r="F141" s="142"/>
      <c r="G141" s="142"/>
      <c r="H141" s="142"/>
    </row>
    <row r="142" spans="1:8" s="47" customFormat="1">
      <c r="A142" s="151"/>
      <c r="E142" s="142"/>
      <c r="F142" s="142"/>
      <c r="G142" s="142"/>
      <c r="H142" s="142"/>
    </row>
    <row r="143" spans="1:8" s="47" customFormat="1">
      <c r="A143" s="151"/>
      <c r="E143" s="142"/>
      <c r="F143" s="142"/>
      <c r="G143" s="142"/>
      <c r="H143" s="142"/>
    </row>
    <row r="144" spans="1:8" s="47" customFormat="1">
      <c r="A144" s="151"/>
      <c r="E144" s="142"/>
      <c r="F144" s="142"/>
      <c r="G144" s="142"/>
      <c r="H144" s="142"/>
    </row>
    <row r="145" spans="1:8" s="47" customFormat="1">
      <c r="A145" s="151"/>
      <c r="E145" s="142"/>
      <c r="F145" s="142"/>
      <c r="G145" s="142"/>
      <c r="H145" s="142"/>
    </row>
    <row r="146" spans="1:8" s="47" customFormat="1">
      <c r="A146" s="151"/>
      <c r="E146" s="142"/>
      <c r="F146" s="142"/>
      <c r="G146" s="142"/>
      <c r="H146" s="142"/>
    </row>
    <row r="147" spans="1:8" s="47" customFormat="1">
      <c r="A147" s="151"/>
      <c r="E147" s="142"/>
      <c r="F147" s="142"/>
      <c r="G147" s="142"/>
      <c r="H147" s="142"/>
    </row>
    <row r="148" spans="1:8" s="47" customFormat="1">
      <c r="A148" s="151"/>
      <c r="E148" s="142"/>
      <c r="F148" s="142"/>
      <c r="G148" s="142"/>
      <c r="H148" s="142"/>
    </row>
    <row r="149" spans="1:8" s="47" customFormat="1">
      <c r="A149" s="151"/>
      <c r="E149" s="142"/>
      <c r="F149" s="142"/>
      <c r="G149" s="142"/>
      <c r="H149" s="142"/>
    </row>
    <row r="150" spans="1:8" s="47" customFormat="1">
      <c r="A150" s="151"/>
      <c r="E150" s="142"/>
      <c r="F150" s="142"/>
      <c r="G150" s="142"/>
      <c r="H150" s="142"/>
    </row>
    <row r="151" spans="1:8" s="47" customFormat="1">
      <c r="A151" s="151"/>
      <c r="E151" s="142"/>
      <c r="F151" s="142"/>
      <c r="G151" s="142"/>
      <c r="H151" s="142"/>
    </row>
    <row r="152" spans="1:8" s="47" customFormat="1">
      <c r="A152" s="151"/>
      <c r="E152" s="142"/>
      <c r="F152" s="142"/>
      <c r="G152" s="142"/>
      <c r="H152" s="142"/>
    </row>
    <row r="153" spans="1:8" s="47" customFormat="1">
      <c r="A153" s="151"/>
      <c r="E153" s="142"/>
      <c r="F153" s="142"/>
      <c r="G153" s="142"/>
      <c r="H153" s="142"/>
    </row>
    <row r="154" spans="1:8" s="47" customFormat="1">
      <c r="A154" s="151"/>
      <c r="E154" s="142"/>
      <c r="F154" s="142"/>
      <c r="G154" s="142"/>
      <c r="H154" s="142"/>
    </row>
    <row r="155" spans="1:8" s="47" customFormat="1">
      <c r="A155" s="151"/>
      <c r="E155" s="142"/>
      <c r="F155" s="142"/>
      <c r="G155" s="142"/>
      <c r="H155" s="142"/>
    </row>
    <row r="156" spans="1:8" s="47" customFormat="1">
      <c r="A156" s="151"/>
      <c r="E156" s="142"/>
      <c r="F156" s="142"/>
      <c r="G156" s="142"/>
      <c r="H156" s="142"/>
    </row>
    <row r="157" spans="1:8" s="47" customFormat="1">
      <c r="A157" s="151"/>
      <c r="E157" s="142"/>
      <c r="F157" s="142"/>
      <c r="G157" s="142"/>
      <c r="H157" s="142"/>
    </row>
    <row r="158" spans="1:8" s="47" customFormat="1">
      <c r="A158" s="151"/>
      <c r="E158" s="142"/>
      <c r="F158" s="142"/>
      <c r="G158" s="142"/>
      <c r="H158" s="142"/>
    </row>
    <row r="159" spans="1:8" s="47" customFormat="1">
      <c r="A159" s="151"/>
      <c r="E159" s="142"/>
      <c r="F159" s="142"/>
      <c r="G159" s="142"/>
      <c r="H159" s="142"/>
    </row>
    <row r="160" spans="1:8" s="47" customFormat="1">
      <c r="A160" s="151"/>
      <c r="E160" s="142"/>
      <c r="F160" s="142"/>
      <c r="G160" s="142"/>
      <c r="H160" s="142"/>
    </row>
    <row r="161" spans="1:8" s="47" customFormat="1">
      <c r="A161" s="151"/>
      <c r="E161" s="142"/>
      <c r="F161" s="142"/>
      <c r="G161" s="142"/>
      <c r="H161" s="142"/>
    </row>
    <row r="162" spans="1:8" s="47" customFormat="1">
      <c r="A162" s="151"/>
      <c r="E162" s="142"/>
      <c r="F162" s="142"/>
      <c r="G162" s="142"/>
      <c r="H162" s="142"/>
    </row>
    <row r="163" spans="1:8" s="47" customFormat="1">
      <c r="A163" s="151"/>
      <c r="E163" s="142"/>
      <c r="F163" s="142"/>
      <c r="G163" s="142"/>
      <c r="H163" s="142"/>
    </row>
    <row r="164" spans="1:8" s="47" customFormat="1">
      <c r="A164" s="151"/>
      <c r="E164" s="142"/>
      <c r="F164" s="142"/>
      <c r="G164" s="142"/>
      <c r="H164" s="142"/>
    </row>
    <row r="165" spans="1:8" s="47" customFormat="1">
      <c r="A165" s="151"/>
      <c r="E165" s="142"/>
      <c r="F165" s="142"/>
      <c r="G165" s="142"/>
      <c r="H165" s="142"/>
    </row>
    <row r="166" spans="1:8" s="47" customFormat="1">
      <c r="A166" s="151"/>
      <c r="E166" s="142"/>
      <c r="F166" s="142"/>
      <c r="G166" s="142"/>
      <c r="H166" s="142"/>
    </row>
    <row r="167" spans="1:8" s="47" customFormat="1">
      <c r="A167" s="151"/>
      <c r="E167" s="142"/>
      <c r="F167" s="142"/>
      <c r="G167" s="142"/>
      <c r="H167" s="142"/>
    </row>
    <row r="168" spans="1:8" s="47" customFormat="1">
      <c r="A168" s="151"/>
      <c r="E168" s="142"/>
      <c r="F168" s="142"/>
      <c r="G168" s="142"/>
      <c r="H168" s="142"/>
    </row>
    <row r="169" spans="1:8" s="47" customFormat="1">
      <c r="A169" s="151"/>
      <c r="E169" s="142"/>
      <c r="F169" s="142"/>
      <c r="G169" s="142"/>
      <c r="H169" s="142"/>
    </row>
    <row r="170" spans="1:8" s="47" customFormat="1">
      <c r="A170" s="151"/>
      <c r="E170" s="142"/>
      <c r="F170" s="142"/>
      <c r="G170" s="142"/>
      <c r="H170" s="142"/>
    </row>
    <row r="171" spans="1:8" s="47" customFormat="1">
      <c r="A171" s="151"/>
      <c r="E171" s="142"/>
      <c r="F171" s="142"/>
      <c r="G171" s="142"/>
      <c r="H171" s="142"/>
    </row>
    <row r="172" spans="1:8" s="47" customFormat="1">
      <c r="A172" s="151"/>
      <c r="E172" s="142"/>
      <c r="F172" s="142"/>
      <c r="G172" s="142"/>
      <c r="H172" s="142"/>
    </row>
    <row r="173" spans="1:8" s="47" customFormat="1">
      <c r="A173" s="151"/>
      <c r="E173" s="142"/>
      <c r="F173" s="142"/>
      <c r="G173" s="142"/>
      <c r="H173" s="142"/>
    </row>
    <row r="174" spans="1:8" s="47" customFormat="1">
      <c r="A174" s="151"/>
      <c r="E174" s="142"/>
      <c r="F174" s="142"/>
      <c r="G174" s="142"/>
      <c r="H174" s="142"/>
    </row>
    <row r="175" spans="1:8" s="47" customFormat="1">
      <c r="A175" s="151"/>
      <c r="E175" s="142"/>
      <c r="F175" s="142"/>
      <c r="G175" s="142"/>
      <c r="H175" s="142"/>
    </row>
    <row r="176" spans="1:8" s="47" customFormat="1">
      <c r="A176" s="151"/>
      <c r="E176" s="142"/>
      <c r="F176" s="142"/>
      <c r="G176" s="142"/>
      <c r="H176" s="142"/>
    </row>
    <row r="177" spans="1:8" s="47" customFormat="1">
      <c r="A177" s="151"/>
      <c r="E177" s="142"/>
      <c r="F177" s="142"/>
      <c r="G177" s="142"/>
      <c r="H177" s="142"/>
    </row>
    <row r="178" spans="1:8" s="47" customFormat="1">
      <c r="A178" s="151"/>
      <c r="E178" s="142"/>
      <c r="F178" s="142"/>
      <c r="G178" s="142"/>
      <c r="H178" s="142"/>
    </row>
    <row r="179" spans="1:8" s="47" customFormat="1">
      <c r="A179" s="151"/>
      <c r="E179" s="142"/>
      <c r="F179" s="142"/>
      <c r="G179" s="142"/>
      <c r="H179" s="142"/>
    </row>
    <row r="180" spans="1:8" s="47" customFormat="1">
      <c r="A180" s="151"/>
      <c r="E180" s="142"/>
      <c r="F180" s="142"/>
      <c r="G180" s="142"/>
      <c r="H180" s="142"/>
    </row>
    <row r="181" spans="1:8" s="47" customFormat="1">
      <c r="A181" s="151"/>
      <c r="E181" s="142"/>
      <c r="F181" s="142"/>
      <c r="G181" s="142"/>
      <c r="H181" s="142"/>
    </row>
    <row r="182" spans="1:8" s="47" customFormat="1">
      <c r="A182" s="151"/>
      <c r="E182" s="142"/>
      <c r="F182" s="142"/>
      <c r="G182" s="142"/>
      <c r="H182" s="142"/>
    </row>
    <row r="183" spans="1:8" s="47" customFormat="1">
      <c r="A183" s="151"/>
      <c r="E183" s="142"/>
      <c r="F183" s="142"/>
      <c r="G183" s="142"/>
      <c r="H183" s="142"/>
    </row>
    <row r="184" spans="1:8" s="47" customFormat="1">
      <c r="A184" s="151"/>
      <c r="E184" s="142"/>
      <c r="F184" s="142"/>
      <c r="G184" s="142"/>
      <c r="H184" s="142"/>
    </row>
    <row r="185" spans="1:8" s="47" customFormat="1">
      <c r="A185" s="151"/>
      <c r="E185" s="142"/>
      <c r="F185" s="142"/>
      <c r="G185" s="142"/>
      <c r="H185" s="142"/>
    </row>
    <row r="186" spans="1:8" s="47" customFormat="1">
      <c r="A186" s="151"/>
      <c r="E186" s="142"/>
      <c r="F186" s="142"/>
      <c r="G186" s="142"/>
      <c r="H186" s="142"/>
    </row>
    <row r="187" spans="1:8" s="47" customFormat="1">
      <c r="A187" s="151"/>
      <c r="E187" s="142"/>
      <c r="F187" s="142"/>
      <c r="G187" s="142"/>
      <c r="H187" s="142"/>
    </row>
    <row r="188" spans="1:8" s="47" customFormat="1">
      <c r="A188" s="151"/>
      <c r="E188" s="142"/>
      <c r="F188" s="142"/>
      <c r="G188" s="142"/>
      <c r="H188" s="142"/>
    </row>
    <row r="189" spans="1:8" s="47" customFormat="1">
      <c r="A189" s="151"/>
      <c r="E189" s="142"/>
      <c r="F189" s="142"/>
      <c r="G189" s="142"/>
      <c r="H189" s="142"/>
    </row>
    <row r="190" spans="1:8" s="47" customFormat="1">
      <c r="A190" s="151"/>
      <c r="E190" s="142"/>
      <c r="F190" s="142"/>
      <c r="G190" s="142"/>
      <c r="H190" s="142"/>
    </row>
    <row r="191" spans="1:8" s="47" customFormat="1">
      <c r="A191" s="151"/>
      <c r="E191" s="142"/>
      <c r="F191" s="142"/>
      <c r="G191" s="142"/>
      <c r="H191" s="142"/>
    </row>
    <row r="192" spans="1:8" s="47" customFormat="1">
      <c r="A192" s="151"/>
      <c r="E192" s="142"/>
      <c r="F192" s="142"/>
      <c r="G192" s="142"/>
      <c r="H192" s="142"/>
    </row>
    <row r="193" spans="1:8" s="47" customFormat="1">
      <c r="A193" s="151"/>
      <c r="E193" s="142"/>
      <c r="F193" s="142"/>
      <c r="G193" s="142"/>
      <c r="H193" s="142"/>
    </row>
    <row r="194" spans="1:8" s="47" customFormat="1">
      <c r="A194" s="151"/>
      <c r="E194" s="142"/>
      <c r="F194" s="142"/>
      <c r="G194" s="142"/>
      <c r="H194" s="142"/>
    </row>
    <row r="195" spans="1:8" s="47" customFormat="1">
      <c r="A195" s="151"/>
      <c r="E195" s="142"/>
      <c r="F195" s="142"/>
      <c r="G195" s="142"/>
      <c r="H195" s="142"/>
    </row>
    <row r="196" spans="1:8" s="47" customFormat="1">
      <c r="A196" s="151"/>
      <c r="E196" s="142"/>
      <c r="F196" s="142"/>
      <c r="G196" s="142"/>
      <c r="H196" s="142"/>
    </row>
    <row r="197" spans="1:8" s="47" customFormat="1">
      <c r="A197" s="151"/>
      <c r="E197" s="142"/>
      <c r="F197" s="142"/>
      <c r="G197" s="142"/>
      <c r="H197" s="142"/>
    </row>
    <row r="198" spans="1:8" s="47" customFormat="1">
      <c r="A198" s="151"/>
      <c r="E198" s="142"/>
      <c r="F198" s="142"/>
      <c r="G198" s="142"/>
      <c r="H198" s="142"/>
    </row>
    <row r="199" spans="1:8" s="47" customFormat="1">
      <c r="A199" s="151"/>
      <c r="E199" s="142"/>
      <c r="F199" s="142"/>
      <c r="G199" s="142"/>
      <c r="H199" s="142"/>
    </row>
    <row r="200" spans="1:8" s="47" customFormat="1">
      <c r="A200" s="151"/>
      <c r="E200" s="142"/>
      <c r="F200" s="142"/>
      <c r="G200" s="142"/>
      <c r="H200" s="142"/>
    </row>
    <row r="201" spans="1:8" s="47" customFormat="1">
      <c r="A201" s="151"/>
      <c r="E201" s="142"/>
      <c r="F201" s="142"/>
      <c r="G201" s="142"/>
      <c r="H201" s="142"/>
    </row>
    <row r="202" spans="1:8" s="47" customFormat="1">
      <c r="A202" s="151"/>
      <c r="E202" s="142"/>
      <c r="F202" s="142"/>
      <c r="G202" s="142"/>
      <c r="H202" s="142"/>
    </row>
    <row r="203" spans="1:8" s="47" customFormat="1">
      <c r="A203" s="151"/>
      <c r="E203" s="142"/>
      <c r="F203" s="142"/>
      <c r="G203" s="142"/>
      <c r="H203" s="142"/>
    </row>
    <row r="204" spans="1:8" s="47" customFormat="1">
      <c r="A204" s="151"/>
      <c r="E204" s="142"/>
      <c r="F204" s="142"/>
      <c r="G204" s="142"/>
      <c r="H204" s="142"/>
    </row>
    <row r="205" spans="1:8" s="47" customFormat="1">
      <c r="A205" s="151"/>
      <c r="E205" s="142"/>
      <c r="F205" s="142"/>
      <c r="G205" s="142"/>
      <c r="H205" s="142"/>
    </row>
    <row r="206" spans="1:8" s="47" customFormat="1">
      <c r="A206" s="151"/>
      <c r="E206" s="142"/>
      <c r="F206" s="142"/>
      <c r="G206" s="142"/>
      <c r="H206" s="142"/>
    </row>
    <row r="207" spans="1:8" s="47" customFormat="1">
      <c r="A207" s="151"/>
      <c r="E207" s="142"/>
      <c r="F207" s="142"/>
      <c r="G207" s="142"/>
      <c r="H207" s="142"/>
    </row>
    <row r="208" spans="1:8" s="47" customFormat="1">
      <c r="A208" s="151"/>
      <c r="E208" s="142"/>
      <c r="F208" s="142"/>
      <c r="G208" s="142"/>
      <c r="H208" s="142"/>
    </row>
    <row r="209" spans="1:8" s="47" customFormat="1">
      <c r="A209" s="151"/>
      <c r="E209" s="142"/>
      <c r="F209" s="142"/>
      <c r="G209" s="142"/>
      <c r="H209" s="142"/>
    </row>
    <row r="210" spans="1:8" s="47" customFormat="1">
      <c r="A210" s="151"/>
      <c r="E210" s="142"/>
      <c r="F210" s="142"/>
      <c r="G210" s="142"/>
      <c r="H210" s="142"/>
    </row>
    <row r="211" spans="1:8" s="47" customFormat="1">
      <c r="A211" s="151"/>
      <c r="E211" s="142"/>
      <c r="F211" s="142"/>
      <c r="G211" s="142"/>
      <c r="H211" s="142"/>
    </row>
    <row r="212" spans="1:8" s="47" customFormat="1">
      <c r="A212" s="151"/>
      <c r="E212" s="142"/>
      <c r="F212" s="142"/>
      <c r="G212" s="142"/>
      <c r="H212" s="142"/>
    </row>
    <row r="213" spans="1:8" s="47" customFormat="1">
      <c r="A213" s="151"/>
      <c r="E213" s="142"/>
      <c r="F213" s="142"/>
      <c r="G213" s="142"/>
      <c r="H213" s="142"/>
    </row>
    <row r="214" spans="1:8" s="47" customFormat="1">
      <c r="A214" s="151"/>
      <c r="E214" s="142"/>
      <c r="F214" s="142"/>
      <c r="G214" s="142"/>
      <c r="H214" s="142"/>
    </row>
    <row r="215" spans="1:8" s="47" customFormat="1">
      <c r="A215" s="151"/>
      <c r="E215" s="142"/>
      <c r="F215" s="142"/>
      <c r="G215" s="142"/>
      <c r="H215" s="142"/>
    </row>
    <row r="216" spans="1:8" s="47" customFormat="1">
      <c r="A216" s="151"/>
      <c r="E216" s="142"/>
      <c r="F216" s="142"/>
      <c r="G216" s="142"/>
      <c r="H216" s="142"/>
    </row>
    <row r="217" spans="1:8" s="47" customFormat="1">
      <c r="A217" s="151"/>
      <c r="E217" s="142"/>
      <c r="F217" s="142"/>
      <c r="G217" s="142"/>
      <c r="H217" s="142"/>
    </row>
    <row r="218" spans="1:8" s="47" customFormat="1">
      <c r="A218" s="151"/>
      <c r="E218" s="142"/>
      <c r="F218" s="142"/>
      <c r="G218" s="142"/>
      <c r="H218" s="142"/>
    </row>
    <row r="219" spans="1:8" s="47" customFormat="1">
      <c r="A219" s="151"/>
      <c r="E219" s="142"/>
      <c r="F219" s="142"/>
      <c r="G219" s="142"/>
      <c r="H219" s="142"/>
    </row>
    <row r="220" spans="1:8" s="47" customFormat="1">
      <c r="A220" s="151"/>
      <c r="E220" s="142"/>
      <c r="F220" s="142"/>
      <c r="G220" s="142"/>
      <c r="H220" s="142"/>
    </row>
    <row r="221" spans="1:8" s="47" customFormat="1">
      <c r="A221" s="151"/>
      <c r="E221" s="142"/>
      <c r="F221" s="142"/>
      <c r="G221" s="142"/>
      <c r="H221" s="142"/>
    </row>
    <row r="222" spans="1:8" s="47" customFormat="1">
      <c r="A222" s="151"/>
      <c r="E222" s="142"/>
      <c r="F222" s="142"/>
      <c r="G222" s="142"/>
      <c r="H222" s="142"/>
    </row>
    <row r="223" spans="1:8" s="47" customFormat="1">
      <c r="A223" s="151"/>
      <c r="E223" s="142"/>
      <c r="F223" s="142"/>
      <c r="G223" s="142"/>
      <c r="H223" s="142"/>
    </row>
    <row r="224" spans="1:8" s="47" customFormat="1">
      <c r="A224" s="151"/>
      <c r="E224" s="142"/>
      <c r="F224" s="142"/>
      <c r="G224" s="142"/>
      <c r="H224" s="142"/>
    </row>
    <row r="225" spans="1:8" s="47" customFormat="1">
      <c r="A225" s="151"/>
      <c r="E225" s="142"/>
      <c r="F225" s="142"/>
      <c r="G225" s="142"/>
      <c r="H225" s="142"/>
    </row>
    <row r="226" spans="1:8" s="47" customFormat="1">
      <c r="A226" s="151"/>
      <c r="E226" s="142"/>
      <c r="F226" s="142"/>
      <c r="G226" s="142"/>
      <c r="H226" s="142"/>
    </row>
    <row r="227" spans="1:8" s="47" customFormat="1">
      <c r="A227" s="151"/>
      <c r="E227" s="142"/>
      <c r="F227" s="142"/>
      <c r="G227" s="142"/>
      <c r="H227" s="142"/>
    </row>
    <row r="228" spans="1:8" s="47" customFormat="1">
      <c r="A228" s="151"/>
      <c r="E228" s="142"/>
      <c r="F228" s="142"/>
      <c r="G228" s="142"/>
      <c r="H228" s="142"/>
    </row>
    <row r="229" spans="1:8" s="47" customFormat="1">
      <c r="A229" s="151"/>
      <c r="E229" s="142"/>
      <c r="F229" s="142"/>
      <c r="G229" s="142"/>
      <c r="H229" s="142"/>
    </row>
    <row r="230" spans="1:8" s="47" customFormat="1">
      <c r="A230" s="151"/>
      <c r="E230" s="142"/>
      <c r="F230" s="142"/>
      <c r="G230" s="142"/>
      <c r="H230" s="142"/>
    </row>
    <row r="231" spans="1:8" s="47" customFormat="1">
      <c r="A231" s="151"/>
      <c r="E231" s="142"/>
      <c r="F231" s="142"/>
      <c r="G231" s="142"/>
      <c r="H231" s="142"/>
    </row>
    <row r="232" spans="1:8" s="47" customFormat="1">
      <c r="A232" s="151"/>
      <c r="E232" s="142"/>
      <c r="F232" s="142"/>
      <c r="G232" s="142"/>
      <c r="H232" s="142"/>
    </row>
    <row r="233" spans="1:8" s="47" customFormat="1">
      <c r="A233" s="151"/>
      <c r="E233" s="142"/>
      <c r="F233" s="142"/>
      <c r="G233" s="142"/>
      <c r="H233" s="142"/>
    </row>
    <row r="234" spans="1:8" s="47" customFormat="1">
      <c r="A234" s="151"/>
      <c r="E234" s="142"/>
      <c r="F234" s="142"/>
      <c r="G234" s="142"/>
      <c r="H234" s="142"/>
    </row>
    <row r="235" spans="1:8" s="47" customFormat="1">
      <c r="A235" s="151"/>
      <c r="E235" s="142"/>
      <c r="F235" s="142"/>
      <c r="G235" s="142"/>
      <c r="H235" s="142"/>
    </row>
    <row r="236" spans="1:8" s="47" customFormat="1">
      <c r="A236" s="151"/>
      <c r="E236" s="142"/>
      <c r="F236" s="142"/>
      <c r="G236" s="142"/>
      <c r="H236" s="142"/>
    </row>
    <row r="237" spans="1:8" s="47" customFormat="1">
      <c r="A237" s="151"/>
      <c r="E237" s="142"/>
      <c r="F237" s="142"/>
      <c r="G237" s="142"/>
      <c r="H237" s="142"/>
    </row>
    <row r="238" spans="1:8" s="47" customFormat="1">
      <c r="A238" s="151"/>
      <c r="E238" s="142"/>
      <c r="F238" s="142"/>
      <c r="G238" s="142"/>
      <c r="H238" s="142"/>
    </row>
    <row r="239" spans="1:8" s="47" customFormat="1">
      <c r="A239" s="151"/>
      <c r="E239" s="142"/>
      <c r="F239" s="142"/>
      <c r="G239" s="142"/>
      <c r="H239" s="142"/>
    </row>
    <row r="240" spans="1:8" s="47" customFormat="1">
      <c r="A240" s="151"/>
      <c r="E240" s="142"/>
      <c r="F240" s="142"/>
      <c r="G240" s="142"/>
      <c r="H240" s="142"/>
    </row>
    <row r="241" spans="1:8" s="47" customFormat="1">
      <c r="A241" s="151"/>
      <c r="E241" s="142"/>
      <c r="F241" s="142"/>
      <c r="G241" s="142"/>
      <c r="H241" s="142"/>
    </row>
    <row r="242" spans="1:8" s="47" customFormat="1">
      <c r="A242" s="151"/>
      <c r="E242" s="142"/>
      <c r="F242" s="142"/>
      <c r="G242" s="142"/>
      <c r="H242" s="142"/>
    </row>
    <row r="243" spans="1:8" s="47" customFormat="1">
      <c r="A243" s="151"/>
      <c r="E243" s="142"/>
      <c r="F243" s="142"/>
      <c r="G243" s="142"/>
      <c r="H243" s="142"/>
    </row>
    <row r="244" spans="1:8" s="47" customFormat="1">
      <c r="A244" s="151"/>
      <c r="E244" s="142"/>
      <c r="F244" s="142"/>
      <c r="G244" s="142"/>
      <c r="H244" s="142"/>
    </row>
    <row r="245" spans="1:8" s="47" customFormat="1">
      <c r="A245" s="151"/>
      <c r="E245" s="142"/>
      <c r="F245" s="142"/>
      <c r="G245" s="142"/>
      <c r="H245" s="142"/>
    </row>
    <row r="246" spans="1:8" s="47" customFormat="1">
      <c r="A246" s="151"/>
      <c r="E246" s="142"/>
      <c r="F246" s="142"/>
      <c r="G246" s="142"/>
      <c r="H246" s="142"/>
    </row>
    <row r="247" spans="1:8" s="47" customFormat="1">
      <c r="A247" s="151"/>
      <c r="E247" s="142"/>
      <c r="F247" s="142"/>
      <c r="G247" s="142"/>
      <c r="H247" s="142"/>
    </row>
    <row r="248" spans="1:8" s="47" customFormat="1">
      <c r="A248" s="151"/>
      <c r="E248" s="142"/>
      <c r="F248" s="142"/>
      <c r="G248" s="142"/>
      <c r="H248" s="142"/>
    </row>
    <row r="249" spans="1:8" s="47" customFormat="1">
      <c r="A249" s="151"/>
      <c r="E249" s="142"/>
      <c r="F249" s="142"/>
      <c r="G249" s="142"/>
      <c r="H249" s="142"/>
    </row>
    <row r="250" spans="1:8" s="47" customFormat="1">
      <c r="A250" s="151"/>
      <c r="E250" s="142"/>
      <c r="F250" s="142"/>
      <c r="G250" s="142"/>
      <c r="H250" s="142"/>
    </row>
    <row r="251" spans="1:8" s="47" customFormat="1">
      <c r="A251" s="151"/>
      <c r="E251" s="142"/>
      <c r="F251" s="142"/>
      <c r="G251" s="142"/>
      <c r="H251" s="142"/>
    </row>
  </sheetData>
  <mergeCells count="17">
    <mergeCell ref="A44:H44"/>
    <mergeCell ref="A2:H2"/>
    <mergeCell ref="A1:H1"/>
    <mergeCell ref="A4:A5"/>
    <mergeCell ref="B4:B5"/>
    <mergeCell ref="A7:H7"/>
    <mergeCell ref="E4:H4"/>
    <mergeCell ref="C4:D4"/>
    <mergeCell ref="C100:D100"/>
    <mergeCell ref="G100:H100"/>
    <mergeCell ref="C99:D99"/>
    <mergeCell ref="A78:H78"/>
    <mergeCell ref="A51:H51"/>
    <mergeCell ref="A69:H69"/>
    <mergeCell ref="C79:D79"/>
    <mergeCell ref="E79:H79"/>
    <mergeCell ref="G99:H99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M324"/>
  <sheetViews>
    <sheetView view="pageBreakPreview" topLeftCell="A89" zoomScaleNormal="100" zoomScaleSheetLayoutView="100" workbookViewId="0">
      <selection activeCell="D100" sqref="D100"/>
    </sheetView>
  </sheetViews>
  <sheetFormatPr defaultRowHeight="18.75"/>
  <cols>
    <col min="1" max="1" width="9.140625" style="33"/>
    <col min="2" max="2" width="51.5703125" style="33" customWidth="1"/>
    <col min="3" max="3" width="12" style="135" customWidth="1"/>
    <col min="4" max="4" width="16.140625" style="135" customWidth="1"/>
    <col min="5" max="5" width="16.7109375" style="135" customWidth="1"/>
    <col min="6" max="6" width="16.140625" style="135" customWidth="1"/>
    <col min="7" max="7" width="16.140625" style="33" customWidth="1"/>
    <col min="8" max="8" width="17.5703125" style="33" customWidth="1"/>
    <col min="9" max="9" width="9.140625" style="33"/>
    <col min="10" max="10" width="16.140625" style="33" customWidth="1"/>
    <col min="11" max="11" width="14" style="33" customWidth="1"/>
    <col min="12" max="12" width="9.140625" style="33"/>
    <col min="13" max="13" width="10.5703125" style="33" bestFit="1" customWidth="1"/>
    <col min="14" max="16384" width="9.140625" style="33"/>
  </cols>
  <sheetData>
    <row r="2" spans="1:12" ht="20.25">
      <c r="B2" s="218" t="s">
        <v>104</v>
      </c>
      <c r="C2" s="218"/>
      <c r="D2" s="218"/>
      <c r="E2" s="218"/>
      <c r="F2" s="218"/>
    </row>
    <row r="3" spans="1:12">
      <c r="B3" s="120"/>
      <c r="C3" s="121"/>
      <c r="D3" s="120"/>
      <c r="E3" s="120"/>
      <c r="F3" s="120"/>
      <c r="H3" s="33" t="s">
        <v>65</v>
      </c>
    </row>
    <row r="4" spans="1:12" ht="92.25" customHeight="1">
      <c r="A4" s="127" t="s">
        <v>76</v>
      </c>
      <c r="B4" s="127" t="s">
        <v>23</v>
      </c>
      <c r="C4" s="91" t="s">
        <v>5</v>
      </c>
      <c r="D4" s="91" t="s">
        <v>146</v>
      </c>
      <c r="E4" s="91" t="s">
        <v>240</v>
      </c>
      <c r="F4" s="91" t="s">
        <v>173</v>
      </c>
      <c r="G4" s="91" t="s">
        <v>117</v>
      </c>
      <c r="H4" s="91" t="s">
        <v>119</v>
      </c>
    </row>
    <row r="5" spans="1:12" ht="30.75" customHeight="1">
      <c r="A5" s="127">
        <v>1</v>
      </c>
      <c r="B5" s="127">
        <v>2</v>
      </c>
      <c r="C5" s="91">
        <v>3</v>
      </c>
      <c r="D5" s="91">
        <v>4</v>
      </c>
      <c r="E5" s="91">
        <v>5</v>
      </c>
      <c r="F5" s="91">
        <v>6</v>
      </c>
      <c r="G5" s="127">
        <v>7</v>
      </c>
      <c r="H5" s="127">
        <v>8</v>
      </c>
    </row>
    <row r="6" spans="1:12" ht="30.75" customHeight="1">
      <c r="A6" s="221" t="s">
        <v>75</v>
      </c>
      <c r="B6" s="221"/>
      <c r="C6" s="91"/>
      <c r="D6" s="128">
        <f>D7+D12+D21+D23</f>
        <v>24319.899999999998</v>
      </c>
      <c r="E6" s="128">
        <f>E7+E12+E21+E23</f>
        <v>22899.899999999998</v>
      </c>
      <c r="F6" s="128">
        <f>F7+F12+F21+F23</f>
        <v>26686.499999999996</v>
      </c>
      <c r="G6" s="127">
        <f>F6-E6</f>
        <v>3786.5999999999985</v>
      </c>
      <c r="H6" s="177">
        <f>(F6/E6)*100</f>
        <v>116.53544338621566</v>
      </c>
    </row>
    <row r="7" spans="1:12" ht="62.25" customHeight="1">
      <c r="A7" s="215" t="s">
        <v>74</v>
      </c>
      <c r="B7" s="215"/>
      <c r="C7" s="90">
        <v>1000</v>
      </c>
      <c r="D7" s="22">
        <f>SUM(D8:D11)</f>
        <v>18305</v>
      </c>
      <c r="E7" s="22">
        <f>SUM(E8:E11)</f>
        <v>19188.7</v>
      </c>
      <c r="F7" s="22">
        <f>SUM(F8:F11)</f>
        <v>21058.5</v>
      </c>
      <c r="G7" s="111">
        <f>F7-E7</f>
        <v>1869.7999999999993</v>
      </c>
      <c r="H7" s="111">
        <f>(F7/E7)*100</f>
        <v>109.74427657944518</v>
      </c>
    </row>
    <row r="8" spans="1:12" ht="45" customHeight="1">
      <c r="A8" s="84">
        <v>1</v>
      </c>
      <c r="B8" s="79" t="s">
        <v>241</v>
      </c>
      <c r="C8" s="90"/>
      <c r="D8" s="24">
        <v>17852.599999999999</v>
      </c>
      <c r="E8" s="24">
        <v>18102.7</v>
      </c>
      <c r="F8" s="24">
        <v>20696.7</v>
      </c>
      <c r="G8" s="111">
        <f t="shared" ref="G8:G10" si="0">F8-E8</f>
        <v>2594</v>
      </c>
      <c r="H8" s="111">
        <f t="shared" ref="H8:H10" si="1">(F8/E8)*100</f>
        <v>114.32935418473487</v>
      </c>
    </row>
    <row r="9" spans="1:12" ht="57" customHeight="1">
      <c r="A9" s="84">
        <v>2</v>
      </c>
      <c r="B9" s="79" t="s">
        <v>313</v>
      </c>
      <c r="C9" s="90"/>
      <c r="D9" s="24">
        <v>264.7</v>
      </c>
      <c r="E9" s="24">
        <v>830</v>
      </c>
      <c r="F9" s="24">
        <v>211.5</v>
      </c>
      <c r="G9" s="111">
        <f t="shared" si="0"/>
        <v>-618.5</v>
      </c>
      <c r="H9" s="111">
        <f t="shared" si="1"/>
        <v>25.481927710843372</v>
      </c>
    </row>
    <row r="10" spans="1:12" ht="37.5" customHeight="1">
      <c r="A10" s="84">
        <v>3</v>
      </c>
      <c r="B10" s="79" t="s">
        <v>242</v>
      </c>
      <c r="C10" s="90"/>
      <c r="D10" s="24">
        <v>86.3</v>
      </c>
      <c r="E10" s="24">
        <v>150</v>
      </c>
      <c r="F10" s="24">
        <v>50.1</v>
      </c>
      <c r="G10" s="111">
        <f t="shared" si="0"/>
        <v>-99.9</v>
      </c>
      <c r="H10" s="111">
        <f t="shared" si="1"/>
        <v>33.4</v>
      </c>
    </row>
    <row r="11" spans="1:12" ht="78.75" customHeight="1">
      <c r="A11" s="84">
        <v>4</v>
      </c>
      <c r="B11" s="79" t="s">
        <v>243</v>
      </c>
      <c r="C11" s="91"/>
      <c r="D11" s="24">
        <v>101.4</v>
      </c>
      <c r="E11" s="24">
        <v>106</v>
      </c>
      <c r="F11" s="24">
        <v>100.2</v>
      </c>
      <c r="G11" s="111">
        <f>F11-E11</f>
        <v>-5.7999999999999972</v>
      </c>
      <c r="H11" s="111">
        <f>(F11/E11)*100</f>
        <v>94.528301886792448</v>
      </c>
    </row>
    <row r="12" spans="1:12" ht="30.75" customHeight="1">
      <c r="A12" s="214" t="s">
        <v>35</v>
      </c>
      <c r="B12" s="214"/>
      <c r="C12" s="90">
        <v>1040</v>
      </c>
      <c r="D12" s="22">
        <f>SUM(D13:D20)</f>
        <v>5582</v>
      </c>
      <c r="E12" s="22">
        <f>SUM(E13:E20)</f>
        <v>3705.6</v>
      </c>
      <c r="F12" s="22">
        <f>SUM(F13:F20)</f>
        <v>4830.7999999999984</v>
      </c>
      <c r="G12" s="110">
        <f>F12-E12</f>
        <v>1125.1999999999985</v>
      </c>
      <c r="H12" s="110">
        <f>(F12/E12)*100</f>
        <v>130.36485319516405</v>
      </c>
    </row>
    <row r="13" spans="1:12" ht="53.25" customHeight="1">
      <c r="A13" s="80">
        <v>1</v>
      </c>
      <c r="B13" s="79" t="s">
        <v>244</v>
      </c>
      <c r="C13" s="90"/>
      <c r="D13" s="24"/>
      <c r="E13" s="24">
        <v>49.5</v>
      </c>
      <c r="F13" s="22"/>
      <c r="G13" s="111">
        <f t="shared" ref="G13:G20" si="2">F13-E13</f>
        <v>-49.5</v>
      </c>
      <c r="H13" s="111">
        <f t="shared" ref="H13:H20" si="3">(F13/E13)*100</f>
        <v>0</v>
      </c>
    </row>
    <row r="14" spans="1:12" ht="49.5" customHeight="1">
      <c r="A14" s="84">
        <v>2</v>
      </c>
      <c r="B14" s="79" t="s">
        <v>378</v>
      </c>
      <c r="C14" s="90"/>
      <c r="D14" s="24">
        <v>5152.7</v>
      </c>
      <c r="E14" s="24">
        <v>3601.2</v>
      </c>
      <c r="F14" s="24">
        <f>4380.7-635.3-0.9-209.5</f>
        <v>3534.9999999999995</v>
      </c>
      <c r="G14" s="111">
        <f t="shared" si="2"/>
        <v>-66.200000000000273</v>
      </c>
      <c r="H14" s="111">
        <f t="shared" si="3"/>
        <v>98.161723869821159</v>
      </c>
      <c r="J14" s="33">
        <v>3535</v>
      </c>
      <c r="L14" s="33">
        <v>845.7</v>
      </c>
    </row>
    <row r="15" spans="1:12" ht="52.5" customHeight="1">
      <c r="A15" s="84">
        <v>3</v>
      </c>
      <c r="B15" s="79" t="s">
        <v>379</v>
      </c>
      <c r="C15" s="90"/>
      <c r="D15" s="24"/>
      <c r="E15" s="24"/>
      <c r="F15" s="24">
        <v>635.29999999999995</v>
      </c>
      <c r="G15" s="111">
        <f t="shared" ref="G15" si="4">F15-E15</f>
        <v>635.29999999999995</v>
      </c>
      <c r="H15" s="111" t="e">
        <f t="shared" ref="H15" si="5">(F15/E15)*100</f>
        <v>#DIV/0!</v>
      </c>
    </row>
    <row r="16" spans="1:12" ht="63" customHeight="1">
      <c r="A16" s="84">
        <v>4</v>
      </c>
      <c r="B16" s="79" t="s">
        <v>245</v>
      </c>
      <c r="C16" s="90"/>
      <c r="D16" s="24"/>
      <c r="E16" s="24">
        <v>5.5</v>
      </c>
      <c r="F16" s="22"/>
      <c r="G16" s="111">
        <f t="shared" si="2"/>
        <v>-5.5</v>
      </c>
      <c r="H16" s="111">
        <f t="shared" si="3"/>
        <v>0</v>
      </c>
    </row>
    <row r="17" spans="1:10" ht="30.75" customHeight="1">
      <c r="A17" s="84">
        <v>5</v>
      </c>
      <c r="B17" s="79" t="s">
        <v>246</v>
      </c>
      <c r="C17" s="90"/>
      <c r="D17" s="24"/>
      <c r="E17" s="24">
        <v>49.4</v>
      </c>
      <c r="F17" s="24">
        <v>0.9</v>
      </c>
      <c r="G17" s="111">
        <f t="shared" si="2"/>
        <v>-48.5</v>
      </c>
      <c r="H17" s="111">
        <f t="shared" si="3"/>
        <v>1.8218623481781377</v>
      </c>
    </row>
    <row r="18" spans="1:10" ht="45.75" customHeight="1">
      <c r="A18" s="84">
        <v>6</v>
      </c>
      <c r="B18" s="79" t="s">
        <v>247</v>
      </c>
      <c r="C18" s="90"/>
      <c r="D18" s="24">
        <v>28.8</v>
      </c>
      <c r="E18" s="24"/>
      <c r="F18" s="24">
        <v>288.39999999999998</v>
      </c>
      <c r="G18" s="111">
        <f t="shared" si="2"/>
        <v>288.39999999999998</v>
      </c>
      <c r="H18" s="111" t="e">
        <f t="shared" si="3"/>
        <v>#DIV/0!</v>
      </c>
    </row>
    <row r="19" spans="1:10" ht="30.75" customHeight="1">
      <c r="A19" s="84">
        <v>7</v>
      </c>
      <c r="B19" s="79" t="s">
        <v>248</v>
      </c>
      <c r="C19" s="90"/>
      <c r="D19" s="24">
        <f>345.2+55.3</f>
        <v>400.5</v>
      </c>
      <c r="E19" s="24"/>
      <c r="F19" s="24">
        <f>161.7+209.5</f>
        <v>371.2</v>
      </c>
      <c r="G19" s="111">
        <f t="shared" si="2"/>
        <v>371.2</v>
      </c>
      <c r="H19" s="111" t="e">
        <f t="shared" si="3"/>
        <v>#DIV/0!</v>
      </c>
    </row>
    <row r="20" spans="1:10" ht="44.25" customHeight="1">
      <c r="A20" s="84">
        <v>8</v>
      </c>
      <c r="B20" s="79" t="s">
        <v>249</v>
      </c>
      <c r="C20" s="90"/>
      <c r="D20" s="24"/>
      <c r="E20" s="24"/>
      <c r="F20" s="24"/>
      <c r="G20" s="111">
        <f t="shared" si="2"/>
        <v>0</v>
      </c>
      <c r="H20" s="111" t="e">
        <f t="shared" si="3"/>
        <v>#DIV/0!</v>
      </c>
    </row>
    <row r="21" spans="1:10" ht="30.75" customHeight="1">
      <c r="A21" s="214" t="s">
        <v>77</v>
      </c>
      <c r="B21" s="214"/>
      <c r="C21" s="90">
        <v>1130</v>
      </c>
      <c r="D21" s="22">
        <f>D22</f>
        <v>9.6</v>
      </c>
      <c r="E21" s="22">
        <f>E22</f>
        <v>5.6</v>
      </c>
      <c r="F21" s="22">
        <f>F22</f>
        <v>8.6</v>
      </c>
      <c r="G21" s="110">
        <f>F21-E21</f>
        <v>3</v>
      </c>
      <c r="H21" s="110">
        <f>(F21/E21)*100</f>
        <v>153.57142857142858</v>
      </c>
    </row>
    <row r="22" spans="1:10" ht="45" customHeight="1">
      <c r="A22" s="84">
        <v>1</v>
      </c>
      <c r="B22" s="88" t="s">
        <v>250</v>
      </c>
      <c r="C22" s="91"/>
      <c r="D22" s="24">
        <v>9.6</v>
      </c>
      <c r="E22" s="24">
        <v>5.6</v>
      </c>
      <c r="F22" s="24">
        <v>8.6</v>
      </c>
      <c r="G22" s="111">
        <f>F22-E22</f>
        <v>3</v>
      </c>
      <c r="H22" s="111">
        <f>(F22/E22)*100</f>
        <v>153.57142857142858</v>
      </c>
    </row>
    <row r="23" spans="1:10" ht="30.75" customHeight="1">
      <c r="A23" s="214" t="s">
        <v>27</v>
      </c>
      <c r="B23" s="214"/>
      <c r="C23" s="90">
        <v>1150</v>
      </c>
      <c r="D23" s="22">
        <f>SUM(D24:D28)</f>
        <v>423.3</v>
      </c>
      <c r="E23" s="22">
        <f>SUM(E24:E28)</f>
        <v>0</v>
      </c>
      <c r="F23" s="22">
        <f>SUM(F24:F28)</f>
        <v>788.6</v>
      </c>
      <c r="G23" s="110">
        <f>F23-E23</f>
        <v>788.6</v>
      </c>
      <c r="H23" s="110" t="e">
        <f>(F23/E23)*100</f>
        <v>#DIV/0!</v>
      </c>
    </row>
    <row r="24" spans="1:10" ht="42" customHeight="1">
      <c r="A24" s="127">
        <v>1</v>
      </c>
      <c r="B24" s="79" t="s">
        <v>249</v>
      </c>
      <c r="C24" s="90"/>
      <c r="D24" s="24"/>
      <c r="E24" s="22"/>
      <c r="F24" s="24">
        <v>9.5</v>
      </c>
      <c r="G24" s="111">
        <f t="shared" ref="G24:G27" si="6">F24-E24</f>
        <v>9.5</v>
      </c>
      <c r="H24" s="111" t="e">
        <f t="shared" ref="H24:H27" si="7">(F24/E24)*100</f>
        <v>#DIV/0!</v>
      </c>
    </row>
    <row r="25" spans="1:10" ht="47.25" customHeight="1">
      <c r="A25" s="127">
        <v>2</v>
      </c>
      <c r="B25" s="79" t="s">
        <v>314</v>
      </c>
      <c r="C25" s="90"/>
      <c r="D25" s="24">
        <v>1.2</v>
      </c>
      <c r="E25" s="22"/>
      <c r="F25" s="24">
        <v>21.1</v>
      </c>
      <c r="G25" s="111">
        <f t="shared" si="6"/>
        <v>21.1</v>
      </c>
      <c r="H25" s="111" t="e">
        <f t="shared" si="7"/>
        <v>#DIV/0!</v>
      </c>
    </row>
    <row r="26" spans="1:10" ht="47.25" customHeight="1">
      <c r="A26" s="127">
        <v>3</v>
      </c>
      <c r="B26" s="79" t="s">
        <v>280</v>
      </c>
      <c r="C26" s="90"/>
      <c r="D26" s="24"/>
      <c r="E26" s="22"/>
      <c r="F26" s="24">
        <v>11.5</v>
      </c>
      <c r="G26" s="111">
        <f t="shared" si="6"/>
        <v>11.5</v>
      </c>
      <c r="H26" s="111" t="e">
        <f t="shared" si="7"/>
        <v>#DIV/0!</v>
      </c>
    </row>
    <row r="27" spans="1:10" ht="30.75" customHeight="1">
      <c r="A27" s="127">
        <v>4</v>
      </c>
      <c r="B27" s="79" t="s">
        <v>246</v>
      </c>
      <c r="C27" s="90"/>
      <c r="D27" s="24">
        <v>6</v>
      </c>
      <c r="E27" s="22"/>
      <c r="F27" s="24">
        <v>22.4</v>
      </c>
      <c r="G27" s="111">
        <f t="shared" si="6"/>
        <v>22.4</v>
      </c>
      <c r="H27" s="111" t="e">
        <f t="shared" si="7"/>
        <v>#DIV/0!</v>
      </c>
    </row>
    <row r="28" spans="1:10" ht="36" customHeight="1">
      <c r="A28" s="127">
        <v>5</v>
      </c>
      <c r="B28" s="79" t="s">
        <v>276</v>
      </c>
      <c r="C28" s="90"/>
      <c r="D28" s="24">
        <v>416.1</v>
      </c>
      <c r="E28" s="22"/>
      <c r="F28" s="24">
        <v>724.1</v>
      </c>
      <c r="G28" s="111">
        <f>F28-E28</f>
        <v>724.1</v>
      </c>
      <c r="H28" s="111" t="e">
        <f>(F28/E28)*100</f>
        <v>#DIV/0!</v>
      </c>
    </row>
    <row r="29" spans="1:10" ht="35.25" customHeight="1">
      <c r="A29" s="221" t="s">
        <v>78</v>
      </c>
      <c r="B29" s="221"/>
      <c r="C29" s="90"/>
      <c r="D29" s="22"/>
      <c r="E29" s="22"/>
      <c r="F29" s="22"/>
      <c r="G29" s="111"/>
      <c r="H29" s="111"/>
    </row>
    <row r="30" spans="1:10" ht="48" customHeight="1">
      <c r="A30" s="215" t="s">
        <v>79</v>
      </c>
      <c r="B30" s="215"/>
      <c r="C30" s="91"/>
      <c r="D30" s="22"/>
      <c r="E30" s="22"/>
      <c r="F30" s="22"/>
      <c r="G30" s="111"/>
      <c r="H30" s="111"/>
    </row>
    <row r="31" spans="1:10" ht="34.5" customHeight="1">
      <c r="A31" s="222" t="s">
        <v>80</v>
      </c>
      <c r="B31" s="222"/>
      <c r="C31" s="90">
        <v>1011</v>
      </c>
      <c r="D31" s="22">
        <f>SUM(D32:D42)</f>
        <v>3989.6</v>
      </c>
      <c r="E31" s="22">
        <f>SUM(E32:E42)</f>
        <v>3130.4</v>
      </c>
      <c r="F31" s="22">
        <f>SUM(F32:F42)</f>
        <v>3345.7</v>
      </c>
      <c r="G31" s="111">
        <f>F31-E31</f>
        <v>215.29999999999973</v>
      </c>
      <c r="H31" s="111">
        <f>(F31/E31)*100</f>
        <v>106.87771530794785</v>
      </c>
    </row>
    <row r="32" spans="1:10" ht="34.5" customHeight="1">
      <c r="A32" s="90"/>
      <c r="B32" s="79" t="s">
        <v>213</v>
      </c>
      <c r="C32" s="90"/>
      <c r="D32" s="24">
        <v>1238.2</v>
      </c>
      <c r="E32" s="125">
        <v>1000</v>
      </c>
      <c r="F32" s="24">
        <v>819.5</v>
      </c>
      <c r="G32" s="111">
        <f t="shared" ref="G32:G40" si="8">F32-E32</f>
        <v>-180.5</v>
      </c>
      <c r="H32" s="111">
        <f t="shared" ref="H32:H40" si="9">(F32/E32)*100</f>
        <v>81.95</v>
      </c>
      <c r="J32" s="139"/>
    </row>
    <row r="33" spans="1:11" ht="55.5" customHeight="1">
      <c r="A33" s="90"/>
      <c r="B33" s="79" t="s">
        <v>212</v>
      </c>
      <c r="C33" s="90"/>
      <c r="D33" s="24">
        <v>157.5</v>
      </c>
      <c r="E33" s="125"/>
      <c r="F33" s="24">
        <v>0.5</v>
      </c>
      <c r="G33" s="111">
        <f t="shared" si="8"/>
        <v>0.5</v>
      </c>
      <c r="H33" s="111" t="e">
        <f t="shared" si="9"/>
        <v>#DIV/0!</v>
      </c>
      <c r="J33" s="139"/>
    </row>
    <row r="34" spans="1:11" ht="29.25" customHeight="1">
      <c r="A34" s="90"/>
      <c r="B34" s="79" t="s">
        <v>216</v>
      </c>
      <c r="C34" s="90"/>
      <c r="D34" s="24">
        <v>13.5</v>
      </c>
      <c r="E34" s="125"/>
      <c r="F34" s="24">
        <v>98.5</v>
      </c>
      <c r="G34" s="111">
        <f t="shared" si="8"/>
        <v>98.5</v>
      </c>
      <c r="H34" s="111" t="e">
        <f t="shared" si="9"/>
        <v>#DIV/0!</v>
      </c>
      <c r="J34" s="139"/>
    </row>
    <row r="35" spans="1:11" ht="27.75" customHeight="1">
      <c r="A35" s="90"/>
      <c r="B35" s="79" t="s">
        <v>217</v>
      </c>
      <c r="C35" s="90"/>
      <c r="D35" s="24">
        <v>44.8</v>
      </c>
      <c r="E35" s="125"/>
      <c r="F35" s="24">
        <v>1</v>
      </c>
      <c r="G35" s="111">
        <f t="shared" si="8"/>
        <v>1</v>
      </c>
      <c r="H35" s="111" t="e">
        <f t="shared" si="9"/>
        <v>#DIV/0!</v>
      </c>
      <c r="J35" s="139"/>
    </row>
    <row r="36" spans="1:11" ht="34.5" customHeight="1">
      <c r="A36" s="90"/>
      <c r="B36" s="88" t="s">
        <v>251</v>
      </c>
      <c r="C36" s="90"/>
      <c r="D36" s="24">
        <v>1474.4</v>
      </c>
      <c r="E36" s="126">
        <v>1745</v>
      </c>
      <c r="F36" s="24">
        <f>1908.2-0.7</f>
        <v>1907.5</v>
      </c>
      <c r="G36" s="111">
        <f t="shared" si="8"/>
        <v>162.5</v>
      </c>
      <c r="H36" s="111">
        <f t="shared" si="9"/>
        <v>109.31232091690543</v>
      </c>
    </row>
    <row r="37" spans="1:11" ht="39" customHeight="1">
      <c r="A37" s="90"/>
      <c r="B37" s="88" t="s">
        <v>214</v>
      </c>
      <c r="C37" s="90"/>
      <c r="D37" s="24">
        <v>785.1</v>
      </c>
      <c r="E37" s="126"/>
      <c r="F37" s="24">
        <v>269.10000000000002</v>
      </c>
      <c r="G37" s="111">
        <f t="shared" si="8"/>
        <v>269.10000000000002</v>
      </c>
      <c r="H37" s="111" t="e">
        <f t="shared" si="9"/>
        <v>#DIV/0!</v>
      </c>
    </row>
    <row r="38" spans="1:11" ht="29.25" customHeight="1">
      <c r="A38" s="90"/>
      <c r="B38" s="79" t="s">
        <v>149</v>
      </c>
      <c r="C38" s="90"/>
      <c r="D38" s="24">
        <v>96.7</v>
      </c>
      <c r="E38" s="126">
        <v>175</v>
      </c>
      <c r="F38" s="24">
        <v>152.4</v>
      </c>
      <c r="G38" s="111">
        <f t="shared" si="8"/>
        <v>-22.599999999999994</v>
      </c>
      <c r="H38" s="111">
        <f t="shared" si="9"/>
        <v>87.085714285714289</v>
      </c>
    </row>
    <row r="39" spans="1:11" ht="30" customHeight="1">
      <c r="A39" s="90"/>
      <c r="B39" s="88" t="s">
        <v>150</v>
      </c>
      <c r="C39" s="90"/>
      <c r="D39" s="24">
        <v>31</v>
      </c>
      <c r="E39" s="126">
        <v>55</v>
      </c>
      <c r="F39" s="24">
        <v>1.9</v>
      </c>
      <c r="G39" s="111">
        <f t="shared" si="8"/>
        <v>-53.1</v>
      </c>
      <c r="H39" s="111">
        <f t="shared" si="9"/>
        <v>3.4545454545454546</v>
      </c>
    </row>
    <row r="40" spans="1:11" ht="29.25" customHeight="1">
      <c r="A40" s="90"/>
      <c r="B40" s="88" t="s">
        <v>195</v>
      </c>
      <c r="C40" s="90"/>
      <c r="D40" s="24">
        <v>26.8</v>
      </c>
      <c r="E40" s="126">
        <v>35.5</v>
      </c>
      <c r="F40" s="24">
        <v>23.7</v>
      </c>
      <c r="G40" s="111">
        <f t="shared" si="8"/>
        <v>-11.8</v>
      </c>
      <c r="H40" s="111">
        <f t="shared" si="9"/>
        <v>66.760563380281695</v>
      </c>
    </row>
    <row r="41" spans="1:11" ht="66.75" customHeight="1">
      <c r="A41" s="89"/>
      <c r="B41" s="79" t="s">
        <v>252</v>
      </c>
      <c r="C41" s="91"/>
      <c r="D41" s="24">
        <v>101.2</v>
      </c>
      <c r="E41" s="126">
        <v>96.9</v>
      </c>
      <c r="F41" s="24">
        <v>52</v>
      </c>
      <c r="G41" s="111">
        <f>F41-E41</f>
        <v>-44.900000000000006</v>
      </c>
      <c r="H41" s="111">
        <f>(F41/E41)*100</f>
        <v>53.663570691434472</v>
      </c>
    </row>
    <row r="42" spans="1:11" ht="49.5" customHeight="1">
      <c r="A42" s="89"/>
      <c r="B42" s="79" t="s">
        <v>176</v>
      </c>
      <c r="C42" s="91"/>
      <c r="D42" s="24">
        <v>20.399999999999999</v>
      </c>
      <c r="E42" s="126">
        <v>23</v>
      </c>
      <c r="F42" s="24">
        <v>19.600000000000001</v>
      </c>
      <c r="G42" s="111">
        <f>F42-E42</f>
        <v>-3.3999999999999986</v>
      </c>
      <c r="H42" s="111">
        <f>(F42/E42)*100</f>
        <v>85.217391304347828</v>
      </c>
    </row>
    <row r="43" spans="1:11" ht="35.25" customHeight="1">
      <c r="A43" s="222" t="s">
        <v>81</v>
      </c>
      <c r="B43" s="222"/>
      <c r="C43" s="90">
        <v>1015</v>
      </c>
      <c r="D43" s="22">
        <f>SUM(D44:D68)</f>
        <v>1596.9999999999998</v>
      </c>
      <c r="E43" s="22">
        <f>SUM(E44:E68)</f>
        <v>3658.2</v>
      </c>
      <c r="F43" s="22">
        <f>SUM(F44:F68)</f>
        <v>3059.8999999999996</v>
      </c>
      <c r="G43" s="111">
        <f>F43-E43</f>
        <v>-598.30000000000018</v>
      </c>
      <c r="H43" s="111">
        <f>(F43/E43)*100</f>
        <v>83.644962003170946</v>
      </c>
    </row>
    <row r="44" spans="1:11" ht="31.5" customHeight="1">
      <c r="A44" s="90"/>
      <c r="B44" s="83" t="s">
        <v>156</v>
      </c>
      <c r="C44" s="90"/>
      <c r="D44" s="24">
        <v>4.0999999999999996</v>
      </c>
      <c r="E44" s="24">
        <v>12.3</v>
      </c>
      <c r="F44" s="24">
        <v>3.4</v>
      </c>
      <c r="G44" s="111">
        <f t="shared" ref="G44:G50" si="10">F44-E44</f>
        <v>-8.9</v>
      </c>
      <c r="H44" s="111">
        <f t="shared" ref="H44:H50" si="11">(F44/E44)*100</f>
        <v>27.642276422764223</v>
      </c>
      <c r="K44" s="139"/>
    </row>
    <row r="45" spans="1:11" ht="30" customHeight="1">
      <c r="A45" s="90"/>
      <c r="B45" s="79" t="s">
        <v>157</v>
      </c>
      <c r="C45" s="90"/>
      <c r="D45" s="24">
        <v>52.6</v>
      </c>
      <c r="E45" s="24">
        <v>86</v>
      </c>
      <c r="F45" s="24">
        <v>41.9</v>
      </c>
      <c r="G45" s="111">
        <f t="shared" si="10"/>
        <v>-44.1</v>
      </c>
      <c r="H45" s="111">
        <f t="shared" si="11"/>
        <v>48.720930232558139</v>
      </c>
    </row>
    <row r="46" spans="1:11" ht="28.5" customHeight="1">
      <c r="A46" s="90"/>
      <c r="B46" s="79" t="s">
        <v>158</v>
      </c>
      <c r="C46" s="90"/>
      <c r="D46" s="22"/>
      <c r="E46" s="24">
        <v>37</v>
      </c>
      <c r="F46" s="24">
        <v>0</v>
      </c>
      <c r="G46" s="111">
        <f t="shared" si="10"/>
        <v>-37</v>
      </c>
      <c r="H46" s="111">
        <f t="shared" si="11"/>
        <v>0</v>
      </c>
    </row>
    <row r="47" spans="1:11" ht="25.5" customHeight="1">
      <c r="A47" s="90"/>
      <c r="B47" s="79" t="s">
        <v>159</v>
      </c>
      <c r="C47" s="90"/>
      <c r="D47" s="24"/>
      <c r="E47" s="24">
        <v>12</v>
      </c>
      <c r="F47" s="24">
        <v>7.8</v>
      </c>
      <c r="G47" s="111">
        <f t="shared" si="10"/>
        <v>-4.2</v>
      </c>
      <c r="H47" s="111">
        <f t="shared" si="11"/>
        <v>65</v>
      </c>
    </row>
    <row r="48" spans="1:11" ht="27.75" customHeight="1">
      <c r="A48" s="90"/>
      <c r="B48" s="79" t="s">
        <v>160</v>
      </c>
      <c r="C48" s="90"/>
      <c r="D48" s="24">
        <v>2.5</v>
      </c>
      <c r="E48" s="24">
        <v>126</v>
      </c>
      <c r="F48" s="24">
        <v>7.4</v>
      </c>
      <c r="G48" s="111">
        <f t="shared" si="10"/>
        <v>-118.6</v>
      </c>
      <c r="H48" s="111">
        <f t="shared" si="11"/>
        <v>5.8730158730158726</v>
      </c>
    </row>
    <row r="49" spans="1:8" ht="35.25" customHeight="1">
      <c r="A49" s="90"/>
      <c r="B49" s="79" t="s">
        <v>197</v>
      </c>
      <c r="C49" s="90"/>
      <c r="D49" s="24">
        <v>0.9</v>
      </c>
      <c r="E49" s="24">
        <v>18</v>
      </c>
      <c r="F49" s="24">
        <v>0</v>
      </c>
      <c r="G49" s="111">
        <f t="shared" si="10"/>
        <v>-18</v>
      </c>
      <c r="H49" s="111">
        <f t="shared" si="11"/>
        <v>0</v>
      </c>
    </row>
    <row r="50" spans="1:8" ht="35.25" customHeight="1">
      <c r="A50" s="90"/>
      <c r="B50" s="83" t="s">
        <v>161</v>
      </c>
      <c r="C50" s="90"/>
      <c r="D50" s="24">
        <v>28.5</v>
      </c>
      <c r="E50" s="24">
        <v>182</v>
      </c>
      <c r="F50" s="24">
        <v>80.3</v>
      </c>
      <c r="G50" s="111">
        <f t="shared" si="10"/>
        <v>-101.7</v>
      </c>
      <c r="H50" s="111">
        <f t="shared" si="11"/>
        <v>44.120879120879117</v>
      </c>
    </row>
    <row r="51" spans="1:8" ht="28.5" customHeight="1">
      <c r="A51" s="119"/>
      <c r="B51" s="83" t="s">
        <v>162</v>
      </c>
      <c r="C51" s="91"/>
      <c r="D51" s="24"/>
      <c r="E51" s="24">
        <v>26.7</v>
      </c>
      <c r="F51" s="24">
        <v>2.1</v>
      </c>
      <c r="G51" s="111">
        <f>F51-E51</f>
        <v>-24.599999999999998</v>
      </c>
      <c r="H51" s="111">
        <f>(F51/E51)*100</f>
        <v>7.8651685393258441</v>
      </c>
    </row>
    <row r="52" spans="1:8" ht="27" customHeight="1">
      <c r="A52" s="119"/>
      <c r="B52" s="83" t="s">
        <v>178</v>
      </c>
      <c r="C52" s="91"/>
      <c r="D52" s="24">
        <v>0.8</v>
      </c>
      <c r="E52" s="24">
        <v>0.8</v>
      </c>
      <c r="F52" s="24">
        <v>0</v>
      </c>
      <c r="G52" s="111">
        <f t="shared" ref="G52:G68" si="12">F52-E52</f>
        <v>-0.8</v>
      </c>
      <c r="H52" s="111">
        <f t="shared" ref="H52:H68" si="13">(F52/E52)*100</f>
        <v>0</v>
      </c>
    </row>
    <row r="53" spans="1:8" ht="28.5" customHeight="1">
      <c r="A53" s="119"/>
      <c r="B53" s="79" t="s">
        <v>253</v>
      </c>
      <c r="C53" s="91"/>
      <c r="D53" s="24">
        <v>22.4</v>
      </c>
      <c r="E53" s="24">
        <v>18</v>
      </c>
      <c r="F53" s="24">
        <v>14.6</v>
      </c>
      <c r="G53" s="111">
        <f t="shared" si="12"/>
        <v>-3.4000000000000004</v>
      </c>
      <c r="H53" s="111">
        <f t="shared" si="13"/>
        <v>81.111111111111114</v>
      </c>
    </row>
    <row r="54" spans="1:8" ht="28.5" customHeight="1">
      <c r="A54" s="119"/>
      <c r="B54" s="79" t="s">
        <v>164</v>
      </c>
      <c r="C54" s="91"/>
      <c r="D54" s="24">
        <v>10.1</v>
      </c>
      <c r="E54" s="24">
        <v>9.1999999999999993</v>
      </c>
      <c r="F54" s="24">
        <v>1.1000000000000001</v>
      </c>
      <c r="G54" s="111">
        <f t="shared" si="12"/>
        <v>-8.1</v>
      </c>
      <c r="H54" s="111">
        <f t="shared" si="13"/>
        <v>11.956521739130437</v>
      </c>
    </row>
    <row r="55" spans="1:8" ht="35.25" customHeight="1">
      <c r="A55" s="119"/>
      <c r="B55" s="83" t="s">
        <v>180</v>
      </c>
      <c r="C55" s="91"/>
      <c r="D55" s="24">
        <v>0.8</v>
      </c>
      <c r="E55" s="24">
        <v>11</v>
      </c>
      <c r="F55" s="24">
        <v>0</v>
      </c>
      <c r="G55" s="111">
        <f t="shared" si="12"/>
        <v>-11</v>
      </c>
      <c r="H55" s="111">
        <f t="shared" si="13"/>
        <v>0</v>
      </c>
    </row>
    <row r="56" spans="1:8" ht="40.5" customHeight="1">
      <c r="A56" s="119"/>
      <c r="B56" s="83" t="s">
        <v>182</v>
      </c>
      <c r="C56" s="91"/>
      <c r="D56" s="24">
        <v>1.3</v>
      </c>
      <c r="E56" s="24"/>
      <c r="F56" s="24">
        <v>7.6</v>
      </c>
      <c r="G56" s="111">
        <f t="shared" si="12"/>
        <v>7.6</v>
      </c>
      <c r="H56" s="111" t="e">
        <f t="shared" si="13"/>
        <v>#DIV/0!</v>
      </c>
    </row>
    <row r="57" spans="1:8" ht="27.75" customHeight="1">
      <c r="A57" s="119"/>
      <c r="B57" s="94" t="s">
        <v>254</v>
      </c>
      <c r="C57" s="91"/>
      <c r="D57" s="24"/>
      <c r="E57" s="24">
        <v>35.5</v>
      </c>
      <c r="F57" s="24">
        <v>22.5</v>
      </c>
      <c r="G57" s="111">
        <f t="shared" si="12"/>
        <v>-13</v>
      </c>
      <c r="H57" s="111">
        <f t="shared" si="13"/>
        <v>63.380281690140848</v>
      </c>
    </row>
    <row r="58" spans="1:8" ht="55.5" customHeight="1">
      <c r="A58" s="119"/>
      <c r="B58" s="79" t="s">
        <v>198</v>
      </c>
      <c r="C58" s="91"/>
      <c r="D58" s="24"/>
      <c r="E58" s="24">
        <v>3.4</v>
      </c>
      <c r="F58" s="24">
        <v>0</v>
      </c>
      <c r="G58" s="111">
        <f t="shared" si="12"/>
        <v>-3.4</v>
      </c>
      <c r="H58" s="111">
        <f t="shared" si="13"/>
        <v>0</v>
      </c>
    </row>
    <row r="59" spans="1:8" ht="30.75" customHeight="1">
      <c r="A59" s="119"/>
      <c r="B59" s="79" t="s">
        <v>301</v>
      </c>
      <c r="C59" s="91"/>
      <c r="D59" s="24">
        <v>2.2999999999999998</v>
      </c>
      <c r="E59" s="24"/>
      <c r="F59" s="24"/>
      <c r="G59" s="111">
        <f t="shared" si="12"/>
        <v>0</v>
      </c>
      <c r="H59" s="111" t="e">
        <f t="shared" si="13"/>
        <v>#DIV/0!</v>
      </c>
    </row>
    <row r="60" spans="1:8" ht="30.75" customHeight="1">
      <c r="A60" s="119"/>
      <c r="B60" s="83" t="s">
        <v>185</v>
      </c>
      <c r="C60" s="91"/>
      <c r="D60" s="24">
        <v>0.3</v>
      </c>
      <c r="E60" s="24">
        <v>1.5</v>
      </c>
      <c r="F60" s="24">
        <v>0</v>
      </c>
      <c r="G60" s="111">
        <f t="shared" si="12"/>
        <v>-1.5</v>
      </c>
      <c r="H60" s="111">
        <f t="shared" si="13"/>
        <v>0</v>
      </c>
    </row>
    <row r="61" spans="1:8" ht="30" customHeight="1">
      <c r="A61" s="119"/>
      <c r="B61" s="83" t="s">
        <v>186</v>
      </c>
      <c r="C61" s="91"/>
      <c r="D61" s="24">
        <v>1078.2</v>
      </c>
      <c r="E61" s="24">
        <v>2205.1999999999998</v>
      </c>
      <c r="F61" s="24">
        <v>1999.6</v>
      </c>
      <c r="G61" s="111">
        <f t="shared" si="12"/>
        <v>-205.59999999999991</v>
      </c>
      <c r="H61" s="111">
        <f t="shared" si="13"/>
        <v>90.67658262289136</v>
      </c>
    </row>
    <row r="62" spans="1:8" ht="31.5" customHeight="1">
      <c r="A62" s="119"/>
      <c r="B62" s="92" t="s">
        <v>187</v>
      </c>
      <c r="C62" s="91"/>
      <c r="D62" s="24">
        <v>100.3</v>
      </c>
      <c r="E62" s="24">
        <v>109.6</v>
      </c>
      <c r="F62" s="24">
        <v>66.7</v>
      </c>
      <c r="G62" s="111">
        <f t="shared" si="12"/>
        <v>-42.899999999999991</v>
      </c>
      <c r="H62" s="111">
        <f t="shared" si="13"/>
        <v>60.857664233576649</v>
      </c>
    </row>
    <row r="63" spans="1:8" ht="32.25" customHeight="1">
      <c r="A63" s="119"/>
      <c r="B63" s="92" t="s">
        <v>188</v>
      </c>
      <c r="C63" s="91"/>
      <c r="D63" s="24">
        <v>270.8</v>
      </c>
      <c r="E63" s="24">
        <v>738.1</v>
      </c>
      <c r="F63" s="24">
        <v>781.2</v>
      </c>
      <c r="G63" s="111">
        <f t="shared" si="12"/>
        <v>43.100000000000023</v>
      </c>
      <c r="H63" s="111">
        <f t="shared" si="13"/>
        <v>105.8393171656957</v>
      </c>
    </row>
    <row r="64" spans="1:8" ht="27.75" customHeight="1">
      <c r="A64" s="119"/>
      <c r="B64" s="92" t="s">
        <v>189</v>
      </c>
      <c r="C64" s="91"/>
      <c r="D64" s="24">
        <v>15.3</v>
      </c>
      <c r="E64" s="24">
        <v>22.4</v>
      </c>
      <c r="F64" s="24">
        <v>23.7</v>
      </c>
      <c r="G64" s="111">
        <f t="shared" si="12"/>
        <v>1.3000000000000007</v>
      </c>
      <c r="H64" s="111">
        <f t="shared" si="13"/>
        <v>105.80357142857144</v>
      </c>
    </row>
    <row r="65" spans="1:13" ht="30.75" customHeight="1">
      <c r="A65" s="119"/>
      <c r="B65" s="92" t="s">
        <v>299</v>
      </c>
      <c r="C65" s="91"/>
      <c r="D65" s="24">
        <v>1.7</v>
      </c>
      <c r="E65" s="24"/>
      <c r="F65" s="24"/>
      <c r="G65" s="111">
        <f t="shared" si="12"/>
        <v>0</v>
      </c>
      <c r="H65" s="111" t="e">
        <f t="shared" si="13"/>
        <v>#DIV/0!</v>
      </c>
    </row>
    <row r="66" spans="1:13" ht="26.25" customHeight="1">
      <c r="A66" s="119"/>
      <c r="B66" s="92" t="s">
        <v>300</v>
      </c>
      <c r="C66" s="91"/>
      <c r="D66" s="24">
        <v>2.5</v>
      </c>
      <c r="E66" s="24"/>
      <c r="F66" s="24"/>
      <c r="G66" s="111">
        <f t="shared" si="12"/>
        <v>0</v>
      </c>
      <c r="H66" s="111" t="e">
        <f t="shared" si="13"/>
        <v>#DIV/0!</v>
      </c>
    </row>
    <row r="67" spans="1:13" ht="31.5" customHeight="1">
      <c r="A67" s="119"/>
      <c r="B67" s="92" t="s">
        <v>311</v>
      </c>
      <c r="C67" s="91"/>
      <c r="D67" s="24">
        <v>1.6</v>
      </c>
      <c r="E67" s="24"/>
      <c r="F67" s="24"/>
      <c r="G67" s="111">
        <f t="shared" si="12"/>
        <v>0</v>
      </c>
      <c r="H67" s="111" t="e">
        <f t="shared" si="13"/>
        <v>#DIV/0!</v>
      </c>
    </row>
    <row r="68" spans="1:13" ht="32.25" customHeight="1">
      <c r="A68" s="119"/>
      <c r="B68" s="79" t="s">
        <v>190</v>
      </c>
      <c r="C68" s="91"/>
      <c r="D68" s="24"/>
      <c r="E68" s="24">
        <v>3.5</v>
      </c>
      <c r="F68" s="24">
        <v>0</v>
      </c>
      <c r="G68" s="111">
        <f t="shared" si="12"/>
        <v>-3.5</v>
      </c>
      <c r="H68" s="111">
        <f t="shared" si="13"/>
        <v>0</v>
      </c>
    </row>
    <row r="69" spans="1:13" s="114" customFormat="1" ht="39" customHeight="1">
      <c r="A69" s="215" t="s">
        <v>82</v>
      </c>
      <c r="B69" s="215"/>
      <c r="C69" s="140"/>
      <c r="D69" s="22"/>
      <c r="E69" s="22"/>
      <c r="F69" s="22"/>
      <c r="G69" s="111"/>
      <c r="H69" s="111"/>
    </row>
    <row r="70" spans="1:13" s="114" customFormat="1" ht="32.25" customHeight="1">
      <c r="A70" s="222" t="s">
        <v>80</v>
      </c>
      <c r="B70" s="222"/>
      <c r="C70" s="90">
        <v>1021</v>
      </c>
      <c r="D70" s="22">
        <f>D71+D72</f>
        <v>7.7</v>
      </c>
      <c r="E70" s="22">
        <f>E71</f>
        <v>13</v>
      </c>
      <c r="F70" s="22">
        <f>F71+F72</f>
        <v>14.200000000000001</v>
      </c>
      <c r="G70" s="111">
        <f>F70-E70</f>
        <v>1.2000000000000011</v>
      </c>
      <c r="H70" s="111">
        <f>(F70/E70)*100</f>
        <v>109.23076923076924</v>
      </c>
    </row>
    <row r="71" spans="1:13" s="114" customFormat="1" ht="73.5" customHeight="1">
      <c r="A71" s="90"/>
      <c r="B71" s="79" t="s">
        <v>252</v>
      </c>
      <c r="C71" s="90"/>
      <c r="D71" s="24">
        <v>1.5</v>
      </c>
      <c r="E71" s="24">
        <v>13</v>
      </c>
      <c r="F71" s="22">
        <v>0.9</v>
      </c>
      <c r="G71" s="111">
        <f t="shared" ref="G71:G72" si="14">F71-E71</f>
        <v>-12.1</v>
      </c>
      <c r="H71" s="111">
        <f t="shared" ref="H71:H72" si="15">(F71/E71)*100</f>
        <v>6.9230769230769234</v>
      </c>
      <c r="K71" s="141"/>
    </row>
    <row r="72" spans="1:13" s="114" customFormat="1" ht="40.5" customHeight="1">
      <c r="A72" s="90"/>
      <c r="B72" s="79" t="s">
        <v>176</v>
      </c>
      <c r="C72" s="90"/>
      <c r="D72" s="24">
        <v>6.2</v>
      </c>
      <c r="E72" s="24"/>
      <c r="F72" s="22">
        <v>13.3</v>
      </c>
      <c r="G72" s="111">
        <f t="shared" si="14"/>
        <v>13.3</v>
      </c>
      <c r="H72" s="178" t="e">
        <f t="shared" si="15"/>
        <v>#DIV/0!</v>
      </c>
    </row>
    <row r="73" spans="1:13" s="114" customFormat="1" ht="31.5" customHeight="1">
      <c r="A73" s="222" t="s">
        <v>83</v>
      </c>
      <c r="B73" s="222"/>
      <c r="C73" s="140">
        <v>1025</v>
      </c>
      <c r="D73" s="22">
        <f>SUM(D74:D88)</f>
        <v>62.8</v>
      </c>
      <c r="E73" s="22">
        <f>SUM(E74:E83)</f>
        <v>82.9</v>
      </c>
      <c r="F73" s="22">
        <f>SUM(F74:F88)</f>
        <v>81.900000000000006</v>
      </c>
      <c r="G73" s="111">
        <f>F73-E73</f>
        <v>-1</v>
      </c>
      <c r="H73" s="111">
        <f>(F73/E73)*100</f>
        <v>98.793727382388425</v>
      </c>
    </row>
    <row r="74" spans="1:13" s="114" customFormat="1" ht="31.5" customHeight="1">
      <c r="A74" s="90"/>
      <c r="B74" s="79" t="s">
        <v>164</v>
      </c>
      <c r="C74" s="140"/>
      <c r="D74" s="24">
        <v>4.0999999999999996</v>
      </c>
      <c r="E74" s="24">
        <v>5.0999999999999996</v>
      </c>
      <c r="F74" s="24">
        <v>7.3</v>
      </c>
      <c r="G74" s="111">
        <f t="shared" ref="G74:G88" si="16">F74-E74</f>
        <v>2.2000000000000002</v>
      </c>
      <c r="H74" s="111">
        <f t="shared" ref="H74:H88" si="17">(F74/E74)*100</f>
        <v>143.13725490196077</v>
      </c>
      <c r="J74" s="141"/>
    </row>
    <row r="75" spans="1:13" s="114" customFormat="1" ht="31.5" customHeight="1">
      <c r="A75" s="90"/>
      <c r="B75" s="79" t="s">
        <v>170</v>
      </c>
      <c r="C75" s="140"/>
      <c r="D75" s="24">
        <v>0.9</v>
      </c>
      <c r="E75" s="24">
        <v>0.9</v>
      </c>
      <c r="F75" s="24">
        <v>1</v>
      </c>
      <c r="G75" s="111">
        <f t="shared" si="16"/>
        <v>9.9999999999999978E-2</v>
      </c>
      <c r="H75" s="111">
        <f t="shared" si="17"/>
        <v>111.11111111111111</v>
      </c>
      <c r="M75" s="141"/>
    </row>
    <row r="76" spans="1:13" s="114" customFormat="1" ht="52.5" customHeight="1">
      <c r="A76" s="90"/>
      <c r="B76" s="79" t="s">
        <v>182</v>
      </c>
      <c r="C76" s="140"/>
      <c r="D76" s="24">
        <v>16.5</v>
      </c>
      <c r="E76" s="24">
        <v>12</v>
      </c>
      <c r="F76" s="24">
        <v>17.100000000000001</v>
      </c>
      <c r="G76" s="111">
        <f t="shared" si="16"/>
        <v>5.1000000000000014</v>
      </c>
      <c r="H76" s="111">
        <f t="shared" si="17"/>
        <v>142.5</v>
      </c>
    </row>
    <row r="77" spans="1:13" s="114" customFormat="1" ht="52.5" customHeight="1">
      <c r="A77" s="90"/>
      <c r="B77" s="79" t="s">
        <v>197</v>
      </c>
      <c r="C77" s="140"/>
      <c r="D77" s="24">
        <v>2.1</v>
      </c>
      <c r="E77" s="24"/>
      <c r="F77" s="24"/>
      <c r="G77" s="111">
        <f t="shared" si="16"/>
        <v>0</v>
      </c>
      <c r="H77" s="111" t="e">
        <f t="shared" si="17"/>
        <v>#DIV/0!</v>
      </c>
    </row>
    <row r="78" spans="1:13" s="114" customFormat="1" ht="46.5" customHeight="1">
      <c r="A78" s="90"/>
      <c r="B78" s="88" t="s">
        <v>255</v>
      </c>
      <c r="C78" s="140"/>
      <c r="D78" s="24">
        <v>1.9</v>
      </c>
      <c r="E78" s="24">
        <v>7</v>
      </c>
      <c r="F78" s="24">
        <v>0</v>
      </c>
      <c r="G78" s="111">
        <f t="shared" si="16"/>
        <v>-7</v>
      </c>
      <c r="H78" s="111">
        <f t="shared" si="17"/>
        <v>0</v>
      </c>
    </row>
    <row r="79" spans="1:13" s="114" customFormat="1" ht="33.75" customHeight="1">
      <c r="A79" s="90"/>
      <c r="B79" s="79" t="s">
        <v>233</v>
      </c>
      <c r="C79" s="140"/>
      <c r="D79" s="24">
        <v>1.1000000000000001</v>
      </c>
      <c r="E79" s="24">
        <v>0.6</v>
      </c>
      <c r="F79" s="24">
        <v>1.4</v>
      </c>
      <c r="G79" s="111">
        <f t="shared" si="16"/>
        <v>0.79999999999999993</v>
      </c>
      <c r="H79" s="111">
        <f t="shared" si="17"/>
        <v>233.33333333333334</v>
      </c>
    </row>
    <row r="80" spans="1:13" s="114" customFormat="1" ht="27" customHeight="1">
      <c r="A80" s="90"/>
      <c r="B80" s="79" t="s">
        <v>186</v>
      </c>
      <c r="C80" s="140"/>
      <c r="D80" s="24">
        <v>24.2</v>
      </c>
      <c r="E80" s="24">
        <v>43.8</v>
      </c>
      <c r="F80" s="24">
        <v>15.9</v>
      </c>
      <c r="G80" s="111">
        <f t="shared" si="16"/>
        <v>-27.9</v>
      </c>
      <c r="H80" s="111">
        <f t="shared" si="17"/>
        <v>36.301369863013697</v>
      </c>
    </row>
    <row r="81" spans="1:11" s="114" customFormat="1" ht="34.5" customHeight="1">
      <c r="A81" s="90"/>
      <c r="B81" s="79" t="s">
        <v>187</v>
      </c>
      <c r="C81" s="140"/>
      <c r="D81" s="24">
        <v>2.2000000000000002</v>
      </c>
      <c r="E81" s="24">
        <v>2.2000000000000002</v>
      </c>
      <c r="F81" s="24">
        <v>1.4</v>
      </c>
      <c r="G81" s="111">
        <f t="shared" si="16"/>
        <v>-0.80000000000000027</v>
      </c>
      <c r="H81" s="111">
        <f t="shared" si="17"/>
        <v>63.636363636363626</v>
      </c>
    </row>
    <row r="82" spans="1:11" s="114" customFormat="1" ht="36" customHeight="1">
      <c r="A82" s="90"/>
      <c r="B82" s="79" t="s">
        <v>188</v>
      </c>
      <c r="C82" s="140"/>
      <c r="D82" s="24">
        <v>6.1</v>
      </c>
      <c r="E82" s="24">
        <v>10.8</v>
      </c>
      <c r="F82" s="24">
        <v>9.5</v>
      </c>
      <c r="G82" s="111">
        <f t="shared" si="16"/>
        <v>-1.3000000000000007</v>
      </c>
      <c r="H82" s="111">
        <f t="shared" si="17"/>
        <v>87.962962962962948</v>
      </c>
    </row>
    <row r="83" spans="1:11" s="114" customFormat="1" ht="27" customHeight="1">
      <c r="A83" s="90"/>
      <c r="B83" s="79" t="s">
        <v>189</v>
      </c>
      <c r="C83" s="140"/>
      <c r="D83" s="24">
        <v>0.3</v>
      </c>
      <c r="E83" s="24">
        <v>0.5</v>
      </c>
      <c r="F83" s="22">
        <v>0</v>
      </c>
      <c r="G83" s="111">
        <f t="shared" si="16"/>
        <v>-0.5</v>
      </c>
      <c r="H83" s="111">
        <f t="shared" si="17"/>
        <v>0</v>
      </c>
    </row>
    <row r="84" spans="1:11" s="114" customFormat="1" ht="31.5" customHeight="1">
      <c r="A84" s="90"/>
      <c r="B84" s="79" t="s">
        <v>185</v>
      </c>
      <c r="C84" s="140"/>
      <c r="D84" s="24">
        <v>1</v>
      </c>
      <c r="E84" s="24"/>
      <c r="F84" s="22">
        <v>1</v>
      </c>
      <c r="G84" s="111">
        <f t="shared" si="16"/>
        <v>1</v>
      </c>
      <c r="H84" s="111" t="e">
        <f t="shared" si="17"/>
        <v>#DIV/0!</v>
      </c>
    </row>
    <row r="85" spans="1:11" s="114" customFormat="1" ht="31.5" customHeight="1">
      <c r="A85" s="90"/>
      <c r="B85" s="79" t="s">
        <v>190</v>
      </c>
      <c r="C85" s="140"/>
      <c r="D85" s="24">
        <v>1.4</v>
      </c>
      <c r="E85" s="24"/>
      <c r="F85" s="24">
        <v>3.3</v>
      </c>
      <c r="G85" s="111">
        <f t="shared" si="16"/>
        <v>3.3</v>
      </c>
      <c r="H85" s="111" t="e">
        <f t="shared" si="17"/>
        <v>#DIV/0!</v>
      </c>
    </row>
    <row r="86" spans="1:11" s="114" customFormat="1" ht="31.5" customHeight="1">
      <c r="A86" s="90"/>
      <c r="B86" s="79" t="s">
        <v>282</v>
      </c>
      <c r="C86" s="140"/>
      <c r="D86" s="24"/>
      <c r="E86" s="24"/>
      <c r="F86" s="24">
        <v>0.4</v>
      </c>
      <c r="G86" s="111">
        <f t="shared" si="16"/>
        <v>0.4</v>
      </c>
      <c r="H86" s="111" t="e">
        <f t="shared" si="17"/>
        <v>#DIV/0!</v>
      </c>
    </row>
    <row r="87" spans="1:11" s="114" customFormat="1" ht="31.5" customHeight="1">
      <c r="A87" s="90"/>
      <c r="B87" s="79" t="s">
        <v>303</v>
      </c>
      <c r="C87" s="140"/>
      <c r="D87" s="24">
        <v>1</v>
      </c>
      <c r="E87" s="24"/>
      <c r="F87" s="24"/>
      <c r="G87" s="111">
        <f t="shared" si="16"/>
        <v>0</v>
      </c>
      <c r="H87" s="111" t="e">
        <f t="shared" si="17"/>
        <v>#DIV/0!</v>
      </c>
    </row>
    <row r="88" spans="1:11" s="114" customFormat="1" ht="31.5" customHeight="1">
      <c r="A88" s="90"/>
      <c r="B88" s="79" t="s">
        <v>310</v>
      </c>
      <c r="C88" s="140"/>
      <c r="D88" s="24"/>
      <c r="E88" s="24"/>
      <c r="F88" s="24">
        <v>23.6</v>
      </c>
      <c r="G88" s="111">
        <f t="shared" si="16"/>
        <v>23.6</v>
      </c>
      <c r="H88" s="111" t="e">
        <f t="shared" si="17"/>
        <v>#DIV/0!</v>
      </c>
    </row>
    <row r="89" spans="1:11" s="114" customFormat="1" ht="37.5" customHeight="1">
      <c r="A89" s="215" t="s">
        <v>127</v>
      </c>
      <c r="B89" s="215"/>
      <c r="C89" s="140"/>
      <c r="D89" s="24"/>
      <c r="E89" s="22"/>
      <c r="F89" s="22"/>
      <c r="G89" s="111"/>
      <c r="H89" s="111"/>
    </row>
    <row r="90" spans="1:11" s="114" customFormat="1" ht="37.5" customHeight="1">
      <c r="A90" s="215" t="s">
        <v>93</v>
      </c>
      <c r="B90" s="215"/>
      <c r="C90" s="140">
        <v>1035</v>
      </c>
      <c r="D90" s="22">
        <f>SUM(D91:D99)</f>
        <v>43.3</v>
      </c>
      <c r="E90" s="22">
        <f>SUM(E91:E99)</f>
        <v>98</v>
      </c>
      <c r="F90" s="22">
        <f>SUM(F91:F99)</f>
        <v>51.2</v>
      </c>
      <c r="G90" s="111">
        <f>F90-E90</f>
        <v>-46.8</v>
      </c>
      <c r="H90" s="111">
        <f>(F90/E90)*100</f>
        <v>52.244897959183675</v>
      </c>
    </row>
    <row r="91" spans="1:11" s="114" customFormat="1" ht="37.5" customHeight="1">
      <c r="A91" s="100"/>
      <c r="B91" s="79" t="s">
        <v>186</v>
      </c>
      <c r="C91" s="140"/>
      <c r="D91" s="24">
        <v>2.8</v>
      </c>
      <c r="E91" s="24">
        <v>20.7</v>
      </c>
      <c r="F91" s="24">
        <v>5.3</v>
      </c>
      <c r="G91" s="111">
        <f t="shared" ref="G91:G99" si="18">F91-E91</f>
        <v>-15.399999999999999</v>
      </c>
      <c r="H91" s="111">
        <f t="shared" ref="H91:H99" si="19">(F91/E91)*100</f>
        <v>25.60386473429952</v>
      </c>
    </row>
    <row r="92" spans="1:11" s="114" customFormat="1" ht="37.5" customHeight="1">
      <c r="A92" s="100"/>
      <c r="B92" s="79" t="s">
        <v>187</v>
      </c>
      <c r="C92" s="140"/>
      <c r="D92" s="24">
        <v>0.3</v>
      </c>
      <c r="E92" s="24">
        <v>0.8</v>
      </c>
      <c r="F92" s="24">
        <v>1</v>
      </c>
      <c r="G92" s="111">
        <f t="shared" si="18"/>
        <v>0.19999999999999996</v>
      </c>
      <c r="H92" s="111">
        <f t="shared" si="19"/>
        <v>125</v>
      </c>
      <c r="K92" s="141"/>
    </row>
    <row r="93" spans="1:11" s="114" customFormat="1" ht="37.5" customHeight="1">
      <c r="A93" s="100"/>
      <c r="B93" s="79" t="s">
        <v>188</v>
      </c>
      <c r="C93" s="140"/>
      <c r="D93" s="24">
        <v>2.9</v>
      </c>
      <c r="E93" s="24">
        <v>27.9</v>
      </c>
      <c r="F93" s="24">
        <v>17</v>
      </c>
      <c r="G93" s="111">
        <f t="shared" si="18"/>
        <v>-10.899999999999999</v>
      </c>
      <c r="H93" s="111">
        <f t="shared" si="19"/>
        <v>60.931899641577061</v>
      </c>
    </row>
    <row r="94" spans="1:11" s="114" customFormat="1" ht="37.5" customHeight="1">
      <c r="A94" s="100"/>
      <c r="B94" s="79" t="s">
        <v>184</v>
      </c>
      <c r="C94" s="140"/>
      <c r="D94" s="24">
        <v>9.6999999999999993</v>
      </c>
      <c r="E94" s="24">
        <v>4</v>
      </c>
      <c r="F94" s="24">
        <v>12.4</v>
      </c>
      <c r="G94" s="111">
        <f t="shared" si="18"/>
        <v>8.4</v>
      </c>
      <c r="H94" s="111">
        <f t="shared" si="19"/>
        <v>310</v>
      </c>
    </row>
    <row r="95" spans="1:11" s="114" customFormat="1" ht="37.5" customHeight="1">
      <c r="A95" s="100"/>
      <c r="B95" s="79" t="s">
        <v>277</v>
      </c>
      <c r="C95" s="140"/>
      <c r="D95" s="24"/>
      <c r="E95" s="24"/>
      <c r="F95" s="24">
        <f>14.8+0.7</f>
        <v>15.5</v>
      </c>
      <c r="G95" s="111">
        <f t="shared" si="18"/>
        <v>15.5</v>
      </c>
      <c r="H95" s="111" t="e">
        <f t="shared" si="19"/>
        <v>#DIV/0!</v>
      </c>
    </row>
    <row r="96" spans="1:11" s="114" customFormat="1" ht="37.5" customHeight="1">
      <c r="A96" s="100"/>
      <c r="B96" s="79" t="s">
        <v>256</v>
      </c>
      <c r="C96" s="140"/>
      <c r="D96" s="24"/>
      <c r="E96" s="24">
        <v>20</v>
      </c>
      <c r="F96" s="24"/>
      <c r="G96" s="111">
        <f t="shared" si="18"/>
        <v>-20</v>
      </c>
      <c r="H96" s="111">
        <f t="shared" si="19"/>
        <v>0</v>
      </c>
    </row>
    <row r="97" spans="1:9" s="114" customFormat="1" ht="37.5" customHeight="1">
      <c r="A97" s="100"/>
      <c r="B97" s="79" t="s">
        <v>307</v>
      </c>
      <c r="C97" s="140"/>
      <c r="D97" s="24">
        <v>0.1</v>
      </c>
      <c r="E97" s="24"/>
      <c r="F97" s="24"/>
      <c r="G97" s="111">
        <f t="shared" si="18"/>
        <v>0</v>
      </c>
      <c r="H97" s="111" t="e">
        <f t="shared" si="19"/>
        <v>#DIV/0!</v>
      </c>
    </row>
    <row r="98" spans="1:9" s="114" customFormat="1" ht="37.5" customHeight="1">
      <c r="A98" s="100"/>
      <c r="B98" s="79" t="s">
        <v>312</v>
      </c>
      <c r="C98" s="140"/>
      <c r="D98" s="24">
        <v>1.9</v>
      </c>
      <c r="E98" s="24"/>
      <c r="F98" s="24"/>
      <c r="G98" s="111">
        <f t="shared" si="18"/>
        <v>0</v>
      </c>
      <c r="H98" s="111" t="e">
        <f t="shared" si="19"/>
        <v>#DIV/0!</v>
      </c>
    </row>
    <row r="99" spans="1:9" s="114" customFormat="1" ht="37.5" customHeight="1">
      <c r="A99" s="100"/>
      <c r="B99" s="79" t="s">
        <v>257</v>
      </c>
      <c r="C99" s="140"/>
      <c r="D99" s="24">
        <v>25.6</v>
      </c>
      <c r="E99" s="24">
        <v>24.6</v>
      </c>
      <c r="F99" s="22"/>
      <c r="G99" s="111">
        <f t="shared" si="18"/>
        <v>-24.6</v>
      </c>
      <c r="H99" s="111">
        <f t="shared" si="19"/>
        <v>0</v>
      </c>
    </row>
    <row r="100" spans="1:9">
      <c r="B100" s="112"/>
      <c r="D100" s="136"/>
      <c r="E100" s="113"/>
      <c r="F100" s="113"/>
    </row>
    <row r="101" spans="1:9" ht="24.75" customHeight="1">
      <c r="B101" s="30" t="s">
        <v>317</v>
      </c>
      <c r="C101" s="31"/>
      <c r="D101" s="219"/>
      <c r="E101" s="219"/>
      <c r="F101" s="216" t="s">
        <v>234</v>
      </c>
      <c r="G101" s="216"/>
      <c r="H101" s="216"/>
      <c r="I101" s="108"/>
    </row>
    <row r="102" spans="1:9">
      <c r="B102" s="135" t="s">
        <v>60</v>
      </c>
      <c r="C102" s="33"/>
      <c r="D102" s="220" t="s">
        <v>66</v>
      </c>
      <c r="E102" s="220"/>
      <c r="F102" s="217" t="s">
        <v>17</v>
      </c>
      <c r="G102" s="217"/>
      <c r="H102" s="217"/>
    </row>
    <row r="103" spans="1:9">
      <c r="B103" s="112"/>
      <c r="D103" s="136"/>
      <c r="E103" s="113"/>
      <c r="F103" s="113"/>
    </row>
    <row r="104" spans="1:9">
      <c r="B104" s="112"/>
      <c r="D104" s="136"/>
      <c r="E104" s="113"/>
      <c r="F104" s="113"/>
    </row>
    <row r="105" spans="1:9">
      <c r="B105" s="112"/>
      <c r="D105" s="136"/>
      <c r="E105" s="113"/>
      <c r="F105" s="113"/>
    </row>
    <row r="106" spans="1:9">
      <c r="B106" s="112"/>
      <c r="D106" s="136"/>
      <c r="E106" s="113"/>
      <c r="F106" s="113"/>
    </row>
    <row r="107" spans="1:9">
      <c r="B107" s="112"/>
      <c r="D107" s="136"/>
      <c r="E107" s="113"/>
      <c r="F107" s="113"/>
    </row>
    <row r="108" spans="1:9">
      <c r="B108" s="112"/>
      <c r="D108" s="136"/>
      <c r="E108" s="113"/>
      <c r="F108" s="113"/>
    </row>
    <row r="109" spans="1:9">
      <c r="B109" s="112"/>
      <c r="D109" s="136"/>
      <c r="E109" s="113"/>
      <c r="F109" s="113"/>
    </row>
    <row r="110" spans="1:9">
      <c r="B110" s="112"/>
      <c r="D110" s="136"/>
      <c r="E110" s="113"/>
      <c r="F110" s="113"/>
    </row>
    <row r="111" spans="1:9">
      <c r="B111" s="112"/>
      <c r="D111" s="136"/>
      <c r="E111" s="113"/>
      <c r="F111" s="113"/>
    </row>
    <row r="112" spans="1:9">
      <c r="B112" s="112"/>
      <c r="D112" s="136"/>
      <c r="E112" s="113"/>
      <c r="F112" s="113"/>
    </row>
    <row r="113" spans="2:6">
      <c r="B113" s="112"/>
      <c r="D113" s="136"/>
      <c r="E113" s="113"/>
      <c r="F113" s="113"/>
    </row>
    <row r="114" spans="2:6">
      <c r="B114" s="112"/>
      <c r="D114" s="136"/>
      <c r="E114" s="113"/>
      <c r="F114" s="113"/>
    </row>
    <row r="115" spans="2:6">
      <c r="B115" s="112"/>
      <c r="D115" s="136"/>
      <c r="E115" s="113"/>
      <c r="F115" s="113"/>
    </row>
    <row r="116" spans="2:6">
      <c r="B116" s="112"/>
      <c r="D116" s="136"/>
      <c r="E116" s="113"/>
      <c r="F116" s="113"/>
    </row>
    <row r="117" spans="2:6">
      <c r="B117" s="112"/>
      <c r="D117" s="136"/>
      <c r="E117" s="113"/>
      <c r="F117" s="113"/>
    </row>
    <row r="118" spans="2:6">
      <c r="B118" s="112"/>
      <c r="D118" s="136"/>
      <c r="E118" s="113"/>
      <c r="F118" s="113"/>
    </row>
    <row r="119" spans="2:6">
      <c r="B119" s="112"/>
      <c r="D119" s="136"/>
      <c r="E119" s="113"/>
      <c r="F119" s="113"/>
    </row>
    <row r="120" spans="2:6">
      <c r="B120" s="112"/>
      <c r="D120" s="136"/>
      <c r="E120" s="113"/>
      <c r="F120" s="113"/>
    </row>
    <row r="121" spans="2:6">
      <c r="B121" s="112"/>
      <c r="D121" s="136"/>
      <c r="E121" s="113"/>
      <c r="F121" s="113"/>
    </row>
    <row r="122" spans="2:6">
      <c r="B122" s="112"/>
      <c r="D122" s="136"/>
      <c r="E122" s="113"/>
      <c r="F122" s="113"/>
    </row>
    <row r="123" spans="2:6">
      <c r="B123" s="112"/>
      <c r="D123" s="136"/>
      <c r="E123" s="113"/>
      <c r="F123" s="113"/>
    </row>
    <row r="124" spans="2:6">
      <c r="B124" s="112"/>
      <c r="D124" s="136"/>
      <c r="E124" s="113"/>
      <c r="F124" s="113"/>
    </row>
    <row r="125" spans="2:6">
      <c r="B125" s="112"/>
      <c r="D125" s="136"/>
      <c r="E125" s="113"/>
      <c r="F125" s="113"/>
    </row>
    <row r="126" spans="2:6">
      <c r="B126" s="112"/>
      <c r="D126" s="136"/>
      <c r="E126" s="113"/>
      <c r="F126" s="113"/>
    </row>
    <row r="127" spans="2:6">
      <c r="B127" s="112"/>
      <c r="D127" s="136"/>
      <c r="E127" s="113"/>
      <c r="F127" s="113"/>
    </row>
    <row r="128" spans="2:6">
      <c r="B128" s="112"/>
      <c r="D128" s="136"/>
      <c r="E128" s="113"/>
      <c r="F128" s="113"/>
    </row>
    <row r="129" spans="2:6">
      <c r="B129" s="112"/>
      <c r="D129" s="136"/>
      <c r="E129" s="113"/>
      <c r="F129" s="113"/>
    </row>
    <row r="130" spans="2:6">
      <c r="B130" s="112"/>
      <c r="D130" s="136"/>
      <c r="E130" s="113"/>
      <c r="F130" s="113"/>
    </row>
    <row r="131" spans="2:6">
      <c r="B131" s="112"/>
      <c r="D131" s="136"/>
      <c r="E131" s="113"/>
      <c r="F131" s="113"/>
    </row>
    <row r="132" spans="2:6">
      <c r="B132" s="112"/>
      <c r="D132" s="136"/>
      <c r="E132" s="113"/>
      <c r="F132" s="113"/>
    </row>
    <row r="133" spans="2:6">
      <c r="B133" s="112"/>
      <c r="D133" s="136"/>
      <c r="E133" s="113"/>
      <c r="F133" s="113"/>
    </row>
    <row r="134" spans="2:6">
      <c r="B134" s="112"/>
      <c r="D134" s="136"/>
      <c r="E134" s="113"/>
      <c r="F134" s="113"/>
    </row>
    <row r="135" spans="2:6">
      <c r="B135" s="112"/>
      <c r="D135" s="136"/>
      <c r="E135" s="113"/>
      <c r="F135" s="113"/>
    </row>
    <row r="136" spans="2:6">
      <c r="B136" s="112"/>
      <c r="D136" s="136"/>
      <c r="E136" s="113"/>
      <c r="F136" s="113"/>
    </row>
    <row r="137" spans="2:6">
      <c r="B137" s="112"/>
      <c r="D137" s="136"/>
      <c r="E137" s="113"/>
      <c r="F137" s="113"/>
    </row>
    <row r="138" spans="2:6">
      <c r="B138" s="112"/>
      <c r="D138" s="136"/>
      <c r="E138" s="113"/>
      <c r="F138" s="113"/>
    </row>
    <row r="139" spans="2:6">
      <c r="B139" s="112"/>
      <c r="D139" s="136"/>
      <c r="E139" s="113"/>
      <c r="F139" s="113"/>
    </row>
    <row r="140" spans="2:6">
      <c r="B140" s="112"/>
      <c r="D140" s="136"/>
      <c r="E140" s="113"/>
      <c r="F140" s="113"/>
    </row>
    <row r="141" spans="2:6">
      <c r="B141" s="112"/>
      <c r="D141" s="136"/>
      <c r="E141" s="113"/>
      <c r="F141" s="113"/>
    </row>
    <row r="142" spans="2:6">
      <c r="B142" s="112"/>
      <c r="D142" s="136"/>
      <c r="E142" s="113"/>
      <c r="F142" s="113"/>
    </row>
    <row r="143" spans="2:6">
      <c r="B143" s="112"/>
      <c r="D143" s="136"/>
      <c r="E143" s="113"/>
      <c r="F143" s="113"/>
    </row>
    <row r="144" spans="2:6">
      <c r="B144" s="112"/>
      <c r="D144" s="136"/>
      <c r="E144" s="113"/>
      <c r="F144" s="113"/>
    </row>
    <row r="145" spans="2:6">
      <c r="B145" s="112"/>
      <c r="D145" s="136"/>
      <c r="E145" s="113"/>
      <c r="F145" s="113"/>
    </row>
    <row r="146" spans="2:6">
      <c r="B146" s="112"/>
      <c r="D146" s="136"/>
      <c r="E146" s="113"/>
      <c r="F146" s="113"/>
    </row>
    <row r="147" spans="2:6">
      <c r="B147" s="112"/>
      <c r="D147" s="136"/>
      <c r="E147" s="113"/>
      <c r="F147" s="113"/>
    </row>
    <row r="148" spans="2:6">
      <c r="B148" s="112"/>
      <c r="D148" s="136"/>
      <c r="E148" s="113"/>
      <c r="F148" s="113"/>
    </row>
    <row r="149" spans="2:6">
      <c r="B149" s="112"/>
      <c r="D149" s="136"/>
      <c r="E149" s="113"/>
      <c r="F149" s="113"/>
    </row>
    <row r="150" spans="2:6">
      <c r="B150" s="112"/>
      <c r="D150" s="136"/>
      <c r="E150" s="113"/>
      <c r="F150" s="113"/>
    </row>
    <row r="151" spans="2:6">
      <c r="B151" s="112"/>
      <c r="D151" s="136"/>
      <c r="E151" s="113"/>
      <c r="F151" s="113"/>
    </row>
    <row r="152" spans="2:6">
      <c r="B152" s="112"/>
      <c r="D152" s="136"/>
      <c r="E152" s="113"/>
      <c r="F152" s="113"/>
    </row>
    <row r="153" spans="2:6">
      <c r="B153" s="112"/>
      <c r="D153" s="136"/>
      <c r="E153" s="113"/>
      <c r="F153" s="113"/>
    </row>
    <row r="154" spans="2:6">
      <c r="B154" s="112"/>
      <c r="D154" s="136"/>
      <c r="E154" s="113"/>
      <c r="F154" s="113"/>
    </row>
    <row r="155" spans="2:6">
      <c r="B155" s="112"/>
      <c r="D155" s="136"/>
      <c r="E155" s="113"/>
      <c r="F155" s="113"/>
    </row>
    <row r="156" spans="2:6">
      <c r="B156" s="112"/>
      <c r="D156" s="136"/>
      <c r="E156" s="113"/>
      <c r="F156" s="113"/>
    </row>
    <row r="157" spans="2:6">
      <c r="B157" s="112"/>
    </row>
    <row r="158" spans="2:6">
      <c r="B158" s="131"/>
    </row>
    <row r="159" spans="2:6">
      <c r="B159" s="131"/>
    </row>
    <row r="160" spans="2:6">
      <c r="B160" s="131"/>
    </row>
    <row r="161" spans="2:2">
      <c r="B161" s="131"/>
    </row>
    <row r="162" spans="2:2">
      <c r="B162" s="131"/>
    </row>
    <row r="163" spans="2:2">
      <c r="B163" s="131"/>
    </row>
    <row r="164" spans="2:2">
      <c r="B164" s="131"/>
    </row>
    <row r="165" spans="2:2">
      <c r="B165" s="131"/>
    </row>
    <row r="166" spans="2:2">
      <c r="B166" s="131"/>
    </row>
    <row r="167" spans="2:2">
      <c r="B167" s="131"/>
    </row>
    <row r="168" spans="2:2">
      <c r="B168" s="131"/>
    </row>
    <row r="169" spans="2:2">
      <c r="B169" s="131"/>
    </row>
    <row r="170" spans="2:2">
      <c r="B170" s="131"/>
    </row>
    <row r="171" spans="2:2">
      <c r="B171" s="131"/>
    </row>
    <row r="172" spans="2:2">
      <c r="B172" s="131"/>
    </row>
    <row r="173" spans="2:2">
      <c r="B173" s="131"/>
    </row>
    <row r="174" spans="2:2">
      <c r="B174" s="131"/>
    </row>
    <row r="175" spans="2:2">
      <c r="B175" s="131"/>
    </row>
    <row r="176" spans="2:2">
      <c r="B176" s="131"/>
    </row>
    <row r="177" spans="2:2">
      <c r="B177" s="131"/>
    </row>
    <row r="178" spans="2:2">
      <c r="B178" s="131"/>
    </row>
    <row r="179" spans="2:2">
      <c r="B179" s="131"/>
    </row>
    <row r="180" spans="2:2">
      <c r="B180" s="131"/>
    </row>
    <row r="181" spans="2:2">
      <c r="B181" s="131"/>
    </row>
    <row r="182" spans="2:2">
      <c r="B182" s="131"/>
    </row>
    <row r="183" spans="2:2">
      <c r="B183" s="131"/>
    </row>
    <row r="184" spans="2:2">
      <c r="B184" s="131"/>
    </row>
    <row r="185" spans="2:2">
      <c r="B185" s="131"/>
    </row>
    <row r="186" spans="2:2">
      <c r="B186" s="131"/>
    </row>
    <row r="187" spans="2:2">
      <c r="B187" s="131"/>
    </row>
    <row r="188" spans="2:2">
      <c r="B188" s="131"/>
    </row>
    <row r="189" spans="2:2">
      <c r="B189" s="131"/>
    </row>
    <row r="190" spans="2:2">
      <c r="B190" s="131"/>
    </row>
    <row r="191" spans="2:2">
      <c r="B191" s="131"/>
    </row>
    <row r="192" spans="2:2">
      <c r="B192" s="131"/>
    </row>
    <row r="193" spans="2:2">
      <c r="B193" s="131"/>
    </row>
    <row r="194" spans="2:2">
      <c r="B194" s="131"/>
    </row>
    <row r="195" spans="2:2">
      <c r="B195" s="131"/>
    </row>
    <row r="196" spans="2:2">
      <c r="B196" s="131"/>
    </row>
    <row r="197" spans="2:2">
      <c r="B197" s="131"/>
    </row>
    <row r="198" spans="2:2">
      <c r="B198" s="131"/>
    </row>
    <row r="199" spans="2:2">
      <c r="B199" s="131"/>
    </row>
    <row r="200" spans="2:2">
      <c r="B200" s="131"/>
    </row>
    <row r="201" spans="2:2">
      <c r="B201" s="131"/>
    </row>
    <row r="202" spans="2:2">
      <c r="B202" s="131"/>
    </row>
    <row r="203" spans="2:2">
      <c r="B203" s="131"/>
    </row>
    <row r="204" spans="2:2">
      <c r="B204" s="131"/>
    </row>
    <row r="205" spans="2:2">
      <c r="B205" s="131"/>
    </row>
    <row r="206" spans="2:2">
      <c r="B206" s="131"/>
    </row>
    <row r="207" spans="2:2">
      <c r="B207" s="131"/>
    </row>
    <row r="208" spans="2:2">
      <c r="B208" s="131"/>
    </row>
    <row r="209" spans="2:2">
      <c r="B209" s="131"/>
    </row>
    <row r="210" spans="2:2">
      <c r="B210" s="131"/>
    </row>
    <row r="211" spans="2:2">
      <c r="B211" s="131"/>
    </row>
    <row r="212" spans="2:2">
      <c r="B212" s="131"/>
    </row>
    <row r="213" spans="2:2">
      <c r="B213" s="131"/>
    </row>
    <row r="214" spans="2:2">
      <c r="B214" s="131"/>
    </row>
    <row r="215" spans="2:2">
      <c r="B215" s="131"/>
    </row>
    <row r="216" spans="2:2">
      <c r="B216" s="131"/>
    </row>
    <row r="217" spans="2:2">
      <c r="B217" s="131"/>
    </row>
    <row r="218" spans="2:2">
      <c r="B218" s="131"/>
    </row>
    <row r="219" spans="2:2">
      <c r="B219" s="131"/>
    </row>
    <row r="220" spans="2:2">
      <c r="B220" s="131"/>
    </row>
    <row r="221" spans="2:2">
      <c r="B221" s="131"/>
    </row>
    <row r="222" spans="2:2">
      <c r="B222" s="131"/>
    </row>
    <row r="223" spans="2:2">
      <c r="B223" s="131"/>
    </row>
    <row r="224" spans="2:2">
      <c r="B224" s="131"/>
    </row>
    <row r="225" spans="2:2">
      <c r="B225" s="131"/>
    </row>
    <row r="226" spans="2:2">
      <c r="B226" s="131"/>
    </row>
    <row r="227" spans="2:2">
      <c r="B227" s="131"/>
    </row>
    <row r="228" spans="2:2">
      <c r="B228" s="131"/>
    </row>
    <row r="229" spans="2:2">
      <c r="B229" s="131"/>
    </row>
    <row r="230" spans="2:2">
      <c r="B230" s="131"/>
    </row>
    <row r="231" spans="2:2">
      <c r="B231" s="131"/>
    </row>
    <row r="232" spans="2:2">
      <c r="B232" s="131"/>
    </row>
    <row r="233" spans="2:2">
      <c r="B233" s="131"/>
    </row>
    <row r="234" spans="2:2">
      <c r="B234" s="131"/>
    </row>
    <row r="235" spans="2:2">
      <c r="B235" s="131"/>
    </row>
    <row r="236" spans="2:2">
      <c r="B236" s="131"/>
    </row>
    <row r="237" spans="2:2">
      <c r="B237" s="131"/>
    </row>
    <row r="238" spans="2:2">
      <c r="B238" s="131"/>
    </row>
    <row r="239" spans="2:2">
      <c r="B239" s="131"/>
    </row>
    <row r="240" spans="2:2">
      <c r="B240" s="131"/>
    </row>
    <row r="241" spans="2:2">
      <c r="B241" s="131"/>
    </row>
    <row r="242" spans="2:2">
      <c r="B242" s="131"/>
    </row>
    <row r="243" spans="2:2">
      <c r="B243" s="131"/>
    </row>
    <row r="244" spans="2:2">
      <c r="B244" s="131"/>
    </row>
    <row r="245" spans="2:2">
      <c r="B245" s="131"/>
    </row>
    <row r="246" spans="2:2">
      <c r="B246" s="131"/>
    </row>
    <row r="247" spans="2:2">
      <c r="B247" s="131"/>
    </row>
    <row r="248" spans="2:2">
      <c r="B248" s="131"/>
    </row>
    <row r="249" spans="2:2">
      <c r="B249" s="131"/>
    </row>
    <row r="250" spans="2:2">
      <c r="B250" s="131"/>
    </row>
    <row r="251" spans="2:2">
      <c r="B251" s="131"/>
    </row>
    <row r="252" spans="2:2">
      <c r="B252" s="131"/>
    </row>
    <row r="253" spans="2:2">
      <c r="B253" s="131"/>
    </row>
    <row r="254" spans="2:2">
      <c r="B254" s="131"/>
    </row>
    <row r="255" spans="2:2">
      <c r="B255" s="131"/>
    </row>
    <row r="256" spans="2:2">
      <c r="B256" s="131"/>
    </row>
    <row r="257" spans="2:2">
      <c r="B257" s="131"/>
    </row>
    <row r="258" spans="2:2">
      <c r="B258" s="131"/>
    </row>
    <row r="259" spans="2:2">
      <c r="B259" s="131"/>
    </row>
    <row r="260" spans="2:2">
      <c r="B260" s="131"/>
    </row>
    <row r="261" spans="2:2">
      <c r="B261" s="131"/>
    </row>
    <row r="262" spans="2:2">
      <c r="B262" s="131"/>
    </row>
    <row r="263" spans="2:2">
      <c r="B263" s="131"/>
    </row>
    <row r="264" spans="2:2">
      <c r="B264" s="131"/>
    </row>
    <row r="265" spans="2:2">
      <c r="B265" s="131"/>
    </row>
    <row r="266" spans="2:2">
      <c r="B266" s="131"/>
    </row>
    <row r="267" spans="2:2">
      <c r="B267" s="131"/>
    </row>
    <row r="268" spans="2:2">
      <c r="B268" s="131"/>
    </row>
    <row r="269" spans="2:2">
      <c r="B269" s="131"/>
    </row>
    <row r="270" spans="2:2">
      <c r="B270" s="131"/>
    </row>
    <row r="271" spans="2:2">
      <c r="B271" s="131"/>
    </row>
    <row r="272" spans="2:2">
      <c r="B272" s="131"/>
    </row>
    <row r="273" spans="2:2">
      <c r="B273" s="131"/>
    </row>
    <row r="274" spans="2:2">
      <c r="B274" s="131"/>
    </row>
    <row r="275" spans="2:2">
      <c r="B275" s="131"/>
    </row>
    <row r="276" spans="2:2">
      <c r="B276" s="131"/>
    </row>
    <row r="277" spans="2:2">
      <c r="B277" s="131"/>
    </row>
    <row r="278" spans="2:2">
      <c r="B278" s="131"/>
    </row>
    <row r="279" spans="2:2">
      <c r="B279" s="131"/>
    </row>
    <row r="280" spans="2:2">
      <c r="B280" s="131"/>
    </row>
    <row r="281" spans="2:2">
      <c r="B281" s="131"/>
    </row>
    <row r="282" spans="2:2">
      <c r="B282" s="131"/>
    </row>
    <row r="283" spans="2:2">
      <c r="B283" s="131"/>
    </row>
    <row r="284" spans="2:2">
      <c r="B284" s="131"/>
    </row>
    <row r="285" spans="2:2">
      <c r="B285" s="131"/>
    </row>
    <row r="286" spans="2:2">
      <c r="B286" s="131"/>
    </row>
    <row r="287" spans="2:2">
      <c r="B287" s="131"/>
    </row>
    <row r="288" spans="2:2">
      <c r="B288" s="131"/>
    </row>
    <row r="289" spans="2:2">
      <c r="B289" s="131"/>
    </row>
    <row r="290" spans="2:2">
      <c r="B290" s="131"/>
    </row>
    <row r="291" spans="2:2">
      <c r="B291" s="131"/>
    </row>
    <row r="292" spans="2:2">
      <c r="B292" s="131"/>
    </row>
    <row r="293" spans="2:2">
      <c r="B293" s="131"/>
    </row>
    <row r="294" spans="2:2">
      <c r="B294" s="131"/>
    </row>
    <row r="295" spans="2:2">
      <c r="B295" s="131"/>
    </row>
    <row r="296" spans="2:2">
      <c r="B296" s="131"/>
    </row>
    <row r="297" spans="2:2">
      <c r="B297" s="131"/>
    </row>
    <row r="298" spans="2:2">
      <c r="B298" s="131"/>
    </row>
    <row r="299" spans="2:2">
      <c r="B299" s="131"/>
    </row>
    <row r="300" spans="2:2">
      <c r="B300" s="131"/>
    </row>
    <row r="301" spans="2:2">
      <c r="B301" s="131"/>
    </row>
    <row r="302" spans="2:2">
      <c r="B302" s="131"/>
    </row>
    <row r="303" spans="2:2">
      <c r="B303" s="131"/>
    </row>
    <row r="304" spans="2:2">
      <c r="B304" s="131"/>
    </row>
    <row r="305" spans="2:2">
      <c r="B305" s="131"/>
    </row>
    <row r="306" spans="2:2">
      <c r="B306" s="131"/>
    </row>
    <row r="307" spans="2:2">
      <c r="B307" s="131"/>
    </row>
    <row r="308" spans="2:2">
      <c r="B308" s="131"/>
    </row>
    <row r="309" spans="2:2">
      <c r="B309" s="131"/>
    </row>
    <row r="310" spans="2:2">
      <c r="B310" s="131"/>
    </row>
    <row r="311" spans="2:2">
      <c r="B311" s="131"/>
    </row>
    <row r="312" spans="2:2">
      <c r="B312" s="131"/>
    </row>
    <row r="313" spans="2:2">
      <c r="B313" s="131"/>
    </row>
    <row r="314" spans="2:2">
      <c r="B314" s="131"/>
    </row>
    <row r="315" spans="2:2">
      <c r="B315" s="131"/>
    </row>
    <row r="316" spans="2:2">
      <c r="B316" s="131"/>
    </row>
    <row r="317" spans="2:2">
      <c r="B317" s="131"/>
    </row>
    <row r="318" spans="2:2">
      <c r="B318" s="131"/>
    </row>
    <row r="319" spans="2:2">
      <c r="B319" s="131"/>
    </row>
    <row r="320" spans="2:2">
      <c r="B320" s="131"/>
    </row>
    <row r="321" spans="2:2">
      <c r="B321" s="131"/>
    </row>
    <row r="322" spans="2:2">
      <c r="B322" s="131"/>
    </row>
    <row r="323" spans="2:2">
      <c r="B323" s="131"/>
    </row>
    <row r="324" spans="2:2">
      <c r="B324" s="131"/>
    </row>
  </sheetData>
  <mergeCells count="19">
    <mergeCell ref="B2:F2"/>
    <mergeCell ref="D101:E101"/>
    <mergeCell ref="D102:E102"/>
    <mergeCell ref="A29:B29"/>
    <mergeCell ref="A30:B30"/>
    <mergeCell ref="A31:B31"/>
    <mergeCell ref="A43:B43"/>
    <mergeCell ref="A69:B69"/>
    <mergeCell ref="A70:B70"/>
    <mergeCell ref="A73:B73"/>
    <mergeCell ref="A6:B6"/>
    <mergeCell ref="A7:B7"/>
    <mergeCell ref="A12:B12"/>
    <mergeCell ref="A23:B23"/>
    <mergeCell ref="A21:B21"/>
    <mergeCell ref="A90:B90"/>
    <mergeCell ref="A89:B89"/>
    <mergeCell ref="F101:H101"/>
    <mergeCell ref="F102:H102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R487"/>
  <sheetViews>
    <sheetView view="pageBreakPreview" topLeftCell="A12" zoomScale="60" zoomScaleNormal="70" workbookViewId="0">
      <selection activeCell="F198" sqref="F198"/>
    </sheetView>
  </sheetViews>
  <sheetFormatPr defaultRowHeight="18.75"/>
  <cols>
    <col min="1" max="1" width="10" style="33" customWidth="1"/>
    <col min="2" max="2" width="106.140625" style="33" customWidth="1"/>
    <col min="3" max="3" width="14.140625" style="175" customWidth="1"/>
    <col min="4" max="4" width="16.140625" style="175" customWidth="1"/>
    <col min="5" max="6" width="16.7109375" style="175" customWidth="1"/>
    <col min="7" max="7" width="17.28515625" style="33" customWidth="1"/>
    <col min="8" max="8" width="17.7109375" style="33" customWidth="1"/>
    <col min="9" max="9" width="10.85546875" style="33" bestFit="1" customWidth="1"/>
    <col min="10" max="10" width="12.28515625" style="33" customWidth="1"/>
    <col min="11" max="11" width="13.85546875" style="114" customWidth="1"/>
    <col min="12" max="12" width="18.7109375" style="33" customWidth="1"/>
    <col min="13" max="13" width="19.7109375" style="33" customWidth="1"/>
    <col min="14" max="14" width="18.5703125" style="33" customWidth="1"/>
    <col min="15" max="15" width="16.28515625" style="175" customWidth="1"/>
    <col min="16" max="16" width="15.85546875" style="175" bestFit="1" customWidth="1"/>
    <col min="17" max="17" width="19.140625" style="175" customWidth="1"/>
    <col min="18" max="16384" width="9.140625" style="33"/>
  </cols>
  <sheetData>
    <row r="2" spans="1:18" ht="22.5" customHeight="1">
      <c r="B2" s="224" t="s">
        <v>125</v>
      </c>
      <c r="C2" s="224"/>
      <c r="D2" s="224"/>
      <c r="E2" s="224"/>
      <c r="F2" s="224"/>
      <c r="G2" s="224"/>
      <c r="H2" s="224"/>
    </row>
    <row r="3" spans="1:18">
      <c r="B3" s="176"/>
      <c r="C3" s="121"/>
      <c r="D3" s="176"/>
      <c r="E3" s="176"/>
      <c r="F3" s="176"/>
      <c r="H3" s="33" t="s">
        <v>65</v>
      </c>
    </row>
    <row r="4" spans="1:18" ht="98.25" customHeight="1">
      <c r="A4" s="127" t="s">
        <v>76</v>
      </c>
      <c r="B4" s="127" t="s">
        <v>23</v>
      </c>
      <c r="C4" s="91" t="s">
        <v>5</v>
      </c>
      <c r="D4" s="91" t="s">
        <v>146</v>
      </c>
      <c r="E4" s="91" t="s">
        <v>145</v>
      </c>
      <c r="F4" s="91" t="s">
        <v>173</v>
      </c>
      <c r="G4" s="91" t="s">
        <v>115</v>
      </c>
      <c r="H4" s="91" t="s">
        <v>118</v>
      </c>
      <c r="O4" s="39"/>
      <c r="P4" s="39"/>
      <c r="Q4" s="39"/>
    </row>
    <row r="5" spans="1:18" ht="30.75" customHeight="1">
      <c r="A5" s="119">
        <v>1</v>
      </c>
      <c r="B5" s="127">
        <v>2</v>
      </c>
      <c r="C5" s="91">
        <v>3</v>
      </c>
      <c r="D5" s="91">
        <v>4</v>
      </c>
      <c r="E5" s="91">
        <v>5</v>
      </c>
      <c r="F5" s="91">
        <v>6</v>
      </c>
      <c r="G5" s="127">
        <v>7</v>
      </c>
      <c r="H5" s="127">
        <v>8</v>
      </c>
      <c r="O5" s="122"/>
      <c r="P5" s="122"/>
      <c r="Q5" s="122"/>
    </row>
    <row r="6" spans="1:18" ht="30.75" customHeight="1">
      <c r="A6" s="221" t="s">
        <v>84</v>
      </c>
      <c r="B6" s="221"/>
      <c r="C6" s="90"/>
      <c r="D6" s="128">
        <f>SUM(D7,D38,D43,D55,D108,D124,D140,D145,D168,D173,D178,D185,D193,D198,D216,D221,D251,D256)</f>
        <v>25408.371000000003</v>
      </c>
      <c r="E6" s="128">
        <f t="shared" ref="E6:F6" si="0">SUM(E7,E38,E43,E55,E108,E124,E140,E145,E168,E173,E178,E185,E193,E198,E216,E221,E251,E256)</f>
        <v>22899.899999999998</v>
      </c>
      <c r="F6" s="128">
        <f t="shared" si="0"/>
        <v>28466.9</v>
      </c>
      <c r="G6" s="127"/>
      <c r="H6" s="127"/>
      <c r="N6" s="114"/>
      <c r="O6" s="123"/>
      <c r="P6" s="123"/>
      <c r="Q6" s="123"/>
    </row>
    <row r="7" spans="1:18" ht="39.75" customHeight="1">
      <c r="A7" s="90" t="s">
        <v>85</v>
      </c>
      <c r="B7" s="89" t="s">
        <v>126</v>
      </c>
      <c r="C7" s="90"/>
      <c r="D7" s="22">
        <f>D9+D28+D35</f>
        <v>17852.600000000002</v>
      </c>
      <c r="E7" s="22">
        <f>E9+E28+E35</f>
        <v>18102.699999999997</v>
      </c>
      <c r="F7" s="22">
        <f>F9+F28+F35</f>
        <v>20696.7</v>
      </c>
      <c r="G7" s="110">
        <f>F7-E7</f>
        <v>2594.0000000000036</v>
      </c>
      <c r="H7" s="110">
        <f>(F7/E7)*100</f>
        <v>114.32935418473488</v>
      </c>
      <c r="N7" s="114"/>
      <c r="O7" s="124"/>
      <c r="P7" s="124"/>
      <c r="Q7" s="124"/>
      <c r="R7" s="45"/>
    </row>
    <row r="8" spans="1:18" ht="24" customHeight="1">
      <c r="A8" s="127"/>
      <c r="B8" s="97" t="s">
        <v>86</v>
      </c>
      <c r="C8" s="91"/>
      <c r="D8" s="24"/>
      <c r="E8" s="24"/>
      <c r="F8" s="24"/>
      <c r="G8" s="110"/>
      <c r="H8" s="110"/>
      <c r="N8" s="114"/>
      <c r="O8" s="124"/>
      <c r="P8" s="124"/>
      <c r="Q8" s="124"/>
    </row>
    <row r="9" spans="1:18" ht="26.25" customHeight="1">
      <c r="A9" s="96" t="s">
        <v>87</v>
      </c>
      <c r="B9" s="100" t="s">
        <v>90</v>
      </c>
      <c r="C9" s="90">
        <v>1010</v>
      </c>
      <c r="D9" s="22">
        <f>D10+D15+D16+D18+D17</f>
        <v>16515.100000000002</v>
      </c>
      <c r="E9" s="22">
        <f>E10+E15+E16+E18</f>
        <v>17018.899999999998</v>
      </c>
      <c r="F9" s="22">
        <f>F10+F15+F16+F18+F17</f>
        <v>19048</v>
      </c>
      <c r="G9" s="110">
        <f>F9-E9</f>
        <v>2029.1000000000022</v>
      </c>
      <c r="H9" s="110">
        <f>(F9/E9)*100</f>
        <v>111.92262719682238</v>
      </c>
      <c r="L9" s="141">
        <f>L10+L17+L24</f>
        <v>25408.371000000003</v>
      </c>
      <c r="M9" s="114">
        <f t="shared" ref="M9:N9" si="1">M10+M17+M24</f>
        <v>22899.899999999998</v>
      </c>
      <c r="N9" s="114">
        <f t="shared" si="1"/>
        <v>28466.899999999998</v>
      </c>
      <c r="O9" s="124"/>
      <c r="P9" s="124"/>
      <c r="Q9" s="124"/>
      <c r="R9" s="114"/>
    </row>
    <row r="10" spans="1:18" ht="28.5" customHeight="1">
      <c r="A10" s="85" t="s">
        <v>147</v>
      </c>
      <c r="B10" s="161" t="s">
        <v>112</v>
      </c>
      <c r="C10" s="162">
        <v>1011</v>
      </c>
      <c r="D10" s="70">
        <f>SUM(D11:D14)</f>
        <v>1130.3</v>
      </c>
      <c r="E10" s="70">
        <f>SUM(E11:E14)</f>
        <v>1891.6</v>
      </c>
      <c r="F10" s="70">
        <f>SUM(F11:F14)</f>
        <v>1381.6</v>
      </c>
      <c r="G10" s="158">
        <f t="shared" ref="G10:G27" si="2">F10-E10</f>
        <v>-510</v>
      </c>
      <c r="H10" s="158">
        <f t="shared" ref="H10:H27" si="3">(F10/E10)*100</f>
        <v>73.038697399027271</v>
      </c>
      <c r="K10" s="114">
        <v>1010</v>
      </c>
      <c r="L10" s="159">
        <f>SUM(D9,D40,D57,D110,D126,D142,D147,D175,D187,D200,D223,D258,D45,D170,D218)</f>
        <v>23912.371000000003</v>
      </c>
      <c r="M10" s="159">
        <f>SUM(E9,E40,E57,E110,E126,E142,E147,E175,E187,E200,E223,E258,E45,E170,E218)</f>
        <v>21636.799999999999</v>
      </c>
      <c r="N10" s="159">
        <f>SUM(F9,F40,F57,F110,F126,F142,F147,F175,F187,F200,F223,F258,F45,F170,F218)</f>
        <v>26226.799999999999</v>
      </c>
      <c r="O10" s="124"/>
      <c r="P10" s="124"/>
      <c r="Q10" s="124"/>
      <c r="R10" s="114"/>
    </row>
    <row r="11" spans="1:18" ht="25.5" customHeight="1">
      <c r="A11" s="78"/>
      <c r="B11" s="79" t="s">
        <v>148</v>
      </c>
      <c r="C11" s="80"/>
      <c r="D11" s="24">
        <f>1040.3+5</f>
        <v>1045.3</v>
      </c>
      <c r="E11" s="24">
        <v>1700</v>
      </c>
      <c r="F11" s="24">
        <v>1302.2</v>
      </c>
      <c r="G11" s="111">
        <f t="shared" si="2"/>
        <v>-397.79999999999995</v>
      </c>
      <c r="H11" s="111">
        <f t="shared" si="3"/>
        <v>76.599999999999994</v>
      </c>
      <c r="K11" s="114">
        <v>1011</v>
      </c>
      <c r="L11" s="129">
        <f>SUM(D10,D58,D111,D127,D148,D201,D224,D46,D171,D219)</f>
        <v>3989.6000000000004</v>
      </c>
      <c r="M11" s="129">
        <f t="shared" ref="M11:N11" si="4">SUM(E10,E58,E111,E127,E148,E201,E224,E46,E171,E219)</f>
        <v>3130.3999999999996</v>
      </c>
      <c r="N11" s="129">
        <f t="shared" si="4"/>
        <v>3345.7</v>
      </c>
      <c r="O11" s="124"/>
      <c r="P11" s="124"/>
      <c r="Q11" s="124"/>
      <c r="R11" s="45"/>
    </row>
    <row r="12" spans="1:18" ht="27" customHeight="1">
      <c r="A12" s="78"/>
      <c r="B12" s="79" t="s">
        <v>149</v>
      </c>
      <c r="C12" s="80"/>
      <c r="D12" s="24">
        <f>64.7</f>
        <v>64.7</v>
      </c>
      <c r="E12" s="24">
        <v>150</v>
      </c>
      <c r="F12" s="24">
        <v>70.599999999999994</v>
      </c>
      <c r="G12" s="111">
        <f t="shared" si="2"/>
        <v>-79.400000000000006</v>
      </c>
      <c r="H12" s="111">
        <f t="shared" si="3"/>
        <v>47.066666666666663</v>
      </c>
      <c r="K12" s="114">
        <v>1012</v>
      </c>
      <c r="L12" s="129">
        <f t="shared" ref="L12:N13" si="5">SUM(D15,D41,D64,D115,D143,D155,)</f>
        <v>14825.900000000001</v>
      </c>
      <c r="M12" s="129">
        <f t="shared" si="5"/>
        <v>12220.6</v>
      </c>
      <c r="N12" s="129">
        <f t="shared" si="5"/>
        <v>16155.100000000002</v>
      </c>
      <c r="O12" s="124"/>
      <c r="P12" s="124"/>
      <c r="Q12" s="124"/>
      <c r="R12" s="114"/>
    </row>
    <row r="13" spans="1:18" ht="26.25" customHeight="1">
      <c r="A13" s="78"/>
      <c r="B13" s="79" t="s">
        <v>150</v>
      </c>
      <c r="C13" s="80"/>
      <c r="D13" s="24"/>
      <c r="E13" s="24">
        <v>15</v>
      </c>
      <c r="F13" s="24"/>
      <c r="G13" s="111">
        <f t="shared" si="2"/>
        <v>-15</v>
      </c>
      <c r="H13" s="111">
        <f t="shared" si="3"/>
        <v>0</v>
      </c>
      <c r="K13" s="114">
        <v>1013</v>
      </c>
      <c r="L13" s="129">
        <f t="shared" si="5"/>
        <v>3116.2000000000003</v>
      </c>
      <c r="M13" s="129">
        <f t="shared" si="5"/>
        <v>2627.6</v>
      </c>
      <c r="N13" s="129">
        <f t="shared" si="5"/>
        <v>3366.2</v>
      </c>
      <c r="O13" s="124"/>
      <c r="P13" s="124"/>
      <c r="Q13" s="124"/>
    </row>
    <row r="14" spans="1:18" ht="27" customHeight="1">
      <c r="A14" s="78"/>
      <c r="B14" s="79" t="s">
        <v>298</v>
      </c>
      <c r="C14" s="80"/>
      <c r="D14" s="24">
        <v>20.3</v>
      </c>
      <c r="E14" s="24">
        <v>26.6</v>
      </c>
      <c r="F14" s="24">
        <v>8.8000000000000007</v>
      </c>
      <c r="G14" s="111">
        <f t="shared" si="2"/>
        <v>-17.8</v>
      </c>
      <c r="H14" s="111">
        <f t="shared" si="3"/>
        <v>33.082706766917291</v>
      </c>
      <c r="K14" s="114">
        <v>1014</v>
      </c>
      <c r="L14" s="129">
        <f>SUM(D17,D66,D230,D259)</f>
        <v>383.7</v>
      </c>
      <c r="M14" s="129">
        <f>SUM(E17,E66,E230,E259)</f>
        <v>0</v>
      </c>
      <c r="N14" s="129">
        <f>SUM(F17,F66,F230,F259)</f>
        <v>299.89999999999998</v>
      </c>
      <c r="O14" s="123"/>
      <c r="P14" s="123"/>
      <c r="Q14" s="123"/>
    </row>
    <row r="15" spans="1:18" ht="26.25" customHeight="1">
      <c r="A15" s="85" t="s">
        <v>151</v>
      </c>
      <c r="B15" s="161" t="s">
        <v>2</v>
      </c>
      <c r="C15" s="163">
        <v>1012</v>
      </c>
      <c r="D15" s="70">
        <f>13642.2+27.7-981.5</f>
        <v>12688.400000000001</v>
      </c>
      <c r="E15" s="70">
        <v>12100</v>
      </c>
      <c r="F15" s="70">
        <f>16009.7-1385.3+0.7</f>
        <v>14625.100000000002</v>
      </c>
      <c r="G15" s="158">
        <f t="shared" si="2"/>
        <v>2525.1000000000022</v>
      </c>
      <c r="H15" s="158">
        <f t="shared" si="3"/>
        <v>120.86859504132232</v>
      </c>
      <c r="K15" s="114">
        <v>1015</v>
      </c>
      <c r="L15" s="129">
        <f>SUM(D18,D67,D117,D130,D157,D176,D188,D207,D231,)</f>
        <v>1596.9709999999998</v>
      </c>
      <c r="M15" s="129">
        <f>SUM(E18,E67,E117,E130,E157,E176,E188,E207,E231,)</f>
        <v>3658.2</v>
      </c>
      <c r="N15" s="129">
        <f>SUM(F18,F67,F117,F130,F157,F176,F188,F207,F231,F52)</f>
        <v>3059.8999999999996</v>
      </c>
      <c r="O15" s="124"/>
      <c r="P15" s="124"/>
      <c r="Q15" s="124"/>
    </row>
    <row r="16" spans="1:18" ht="27" customHeight="1">
      <c r="A16" s="85" t="s">
        <v>152</v>
      </c>
      <c r="B16" s="161" t="s">
        <v>3</v>
      </c>
      <c r="C16" s="163">
        <v>1013</v>
      </c>
      <c r="D16" s="70">
        <f>2877.3-277.3</f>
        <v>2600</v>
      </c>
      <c r="E16" s="70">
        <v>2601.5</v>
      </c>
      <c r="F16" s="70">
        <f>3336.1-390.7</f>
        <v>2945.4</v>
      </c>
      <c r="G16" s="158">
        <f t="shared" si="2"/>
        <v>343.90000000000009</v>
      </c>
      <c r="H16" s="158">
        <f t="shared" si="3"/>
        <v>113.2192965596771</v>
      </c>
      <c r="L16" s="129"/>
      <c r="M16" s="129"/>
      <c r="N16" s="170"/>
      <c r="O16" s="124"/>
      <c r="P16" s="124"/>
      <c r="Q16" s="124"/>
    </row>
    <row r="17" spans="1:18" ht="26.25" customHeight="1">
      <c r="A17" s="85" t="s">
        <v>153</v>
      </c>
      <c r="B17" s="161" t="s">
        <v>4</v>
      </c>
      <c r="C17" s="163">
        <v>1014</v>
      </c>
      <c r="D17" s="70">
        <v>11.7</v>
      </c>
      <c r="E17" s="70"/>
      <c r="F17" s="70">
        <v>4.0999999999999996</v>
      </c>
      <c r="G17" s="158">
        <f t="shared" si="2"/>
        <v>4.0999999999999996</v>
      </c>
      <c r="H17" s="164" t="e">
        <f t="shared" si="3"/>
        <v>#DIV/0!</v>
      </c>
      <c r="I17" s="134"/>
      <c r="K17" s="114">
        <v>1020</v>
      </c>
      <c r="L17" s="170">
        <f>SUM(D28,D91,D134,D162,D190,D238,D261)</f>
        <v>1341.3</v>
      </c>
      <c r="M17" s="170">
        <f>SUM(E28,E91,E134,E162,E190,E238,E261)</f>
        <v>1165.0999999999999</v>
      </c>
      <c r="N17" s="170">
        <f>SUM(F28,F91,F134,F162,F190,F238,F261)</f>
        <v>1832</v>
      </c>
      <c r="O17" s="124"/>
      <c r="P17" s="124"/>
      <c r="Q17" s="124"/>
    </row>
    <row r="18" spans="1:18" ht="26.25" customHeight="1">
      <c r="A18" s="85" t="s">
        <v>154</v>
      </c>
      <c r="B18" s="161" t="s">
        <v>155</v>
      </c>
      <c r="C18" s="163">
        <v>1015</v>
      </c>
      <c r="D18" s="70">
        <f>SUM(D19:D27)</f>
        <v>84.699999999999989</v>
      </c>
      <c r="E18" s="70">
        <f>SUM(E19:E27)</f>
        <v>425.8</v>
      </c>
      <c r="F18" s="70">
        <f>SUM(F19:F27)</f>
        <v>91.8</v>
      </c>
      <c r="G18" s="158">
        <f t="shared" si="2"/>
        <v>-334</v>
      </c>
      <c r="H18" s="158">
        <f t="shared" si="3"/>
        <v>21.559417566932833</v>
      </c>
      <c r="K18" s="114">
        <v>1021</v>
      </c>
      <c r="L18" s="129">
        <f>SUM(D92,D239,)</f>
        <v>7.6999999999999993</v>
      </c>
      <c r="M18" s="129">
        <f>SUM(E92,E239,)</f>
        <v>13</v>
      </c>
      <c r="N18" s="129">
        <f>SUM(F92,F239,)</f>
        <v>14.2</v>
      </c>
      <c r="O18" s="124"/>
      <c r="P18" s="124"/>
      <c r="Q18" s="124"/>
      <c r="R18" s="45"/>
    </row>
    <row r="19" spans="1:18" ht="27" customHeight="1">
      <c r="A19" s="82"/>
      <c r="B19" s="83" t="s">
        <v>156</v>
      </c>
      <c r="C19" s="84"/>
      <c r="D19" s="41"/>
      <c r="E19" s="41">
        <v>4.8</v>
      </c>
      <c r="F19" s="41"/>
      <c r="G19" s="111">
        <f t="shared" si="2"/>
        <v>-4.8</v>
      </c>
      <c r="H19" s="111">
        <f t="shared" si="3"/>
        <v>0</v>
      </c>
      <c r="K19" s="114">
        <v>1022</v>
      </c>
      <c r="L19" s="129">
        <f>SUM(D29,)</f>
        <v>991.69999999999993</v>
      </c>
      <c r="M19" s="129">
        <f t="shared" ref="M19:N19" si="6">SUM(E29,)</f>
        <v>880</v>
      </c>
      <c r="N19" s="129">
        <f t="shared" si="6"/>
        <v>1063.8</v>
      </c>
      <c r="O19" s="124"/>
      <c r="P19" s="124"/>
      <c r="Q19" s="124"/>
      <c r="R19" s="114"/>
    </row>
    <row r="20" spans="1:18" ht="26.25" customHeight="1">
      <c r="A20" s="82"/>
      <c r="B20" s="79" t="s">
        <v>157</v>
      </c>
      <c r="C20" s="84"/>
      <c r="D20" s="41">
        <f>52.6</f>
        <v>52.6</v>
      </c>
      <c r="E20" s="41">
        <v>80</v>
      </c>
      <c r="F20" s="41">
        <v>41.9</v>
      </c>
      <c r="G20" s="111">
        <f t="shared" si="2"/>
        <v>-38.1</v>
      </c>
      <c r="H20" s="111">
        <f t="shared" si="3"/>
        <v>52.374999999999993</v>
      </c>
      <c r="K20" s="114">
        <v>1023</v>
      </c>
      <c r="L20" s="129">
        <f>SUM(D30,)</f>
        <v>225.9</v>
      </c>
      <c r="M20" s="129">
        <f t="shared" ref="M20:N20" si="7">SUM(E30,)</f>
        <v>189.2</v>
      </c>
      <c r="N20" s="129">
        <f t="shared" si="7"/>
        <v>228</v>
      </c>
      <c r="O20" s="124"/>
      <c r="P20" s="124"/>
      <c r="Q20" s="124"/>
    </row>
    <row r="21" spans="1:18" ht="27" customHeight="1">
      <c r="A21" s="82"/>
      <c r="B21" s="79" t="s">
        <v>158</v>
      </c>
      <c r="C21" s="84"/>
      <c r="D21" s="41"/>
      <c r="E21" s="41">
        <v>25</v>
      </c>
      <c r="F21" s="41"/>
      <c r="G21" s="111">
        <f t="shared" si="2"/>
        <v>-25</v>
      </c>
      <c r="H21" s="111">
        <f t="shared" si="3"/>
        <v>0</v>
      </c>
      <c r="K21" s="114">
        <v>1024</v>
      </c>
      <c r="L21" s="129">
        <f>SUM(D262)</f>
        <v>53.2</v>
      </c>
      <c r="M21" s="129">
        <f t="shared" ref="M21:N21" si="8">SUM(E262)</f>
        <v>0</v>
      </c>
      <c r="N21" s="129">
        <f t="shared" si="8"/>
        <v>444.1</v>
      </c>
      <c r="O21" s="123"/>
      <c r="P21" s="123"/>
      <c r="Q21" s="123"/>
    </row>
    <row r="22" spans="1:18" ht="26.25" customHeight="1">
      <c r="A22" s="82"/>
      <c r="B22" s="79" t="s">
        <v>159</v>
      </c>
      <c r="C22" s="84"/>
      <c r="D22" s="41"/>
      <c r="E22" s="41">
        <v>12</v>
      </c>
      <c r="F22" s="41">
        <v>3.5</v>
      </c>
      <c r="G22" s="111">
        <f t="shared" si="2"/>
        <v>-8.5</v>
      </c>
      <c r="H22" s="111">
        <f t="shared" si="3"/>
        <v>29.166666666666668</v>
      </c>
      <c r="K22" s="114">
        <v>1025</v>
      </c>
      <c r="L22" s="129">
        <f>SUM(D31,D163,D191,D242,D95)</f>
        <v>62.8</v>
      </c>
      <c r="M22" s="129">
        <f>SUM(E31,E163,E191,E242,E95,E135)</f>
        <v>82.899999999999991</v>
      </c>
      <c r="N22" s="129">
        <f>SUM(F31,F163,F191,F242,F95)</f>
        <v>81.900000000000006</v>
      </c>
      <c r="O22" s="124"/>
      <c r="P22" s="124"/>
      <c r="Q22" s="124"/>
    </row>
    <row r="23" spans="1:18" ht="26.25" customHeight="1">
      <c r="A23" s="82"/>
      <c r="B23" s="79" t="s">
        <v>160</v>
      </c>
      <c r="C23" s="84"/>
      <c r="D23" s="41"/>
      <c r="E23" s="41">
        <v>120</v>
      </c>
      <c r="F23" s="41"/>
      <c r="G23" s="111">
        <f t="shared" si="2"/>
        <v>-120</v>
      </c>
      <c r="H23" s="111">
        <f t="shared" si="3"/>
        <v>0</v>
      </c>
      <c r="L23" s="129"/>
      <c r="M23" s="129"/>
      <c r="N23" s="129"/>
    </row>
    <row r="24" spans="1:18" ht="26.25" customHeight="1">
      <c r="A24" s="82"/>
      <c r="B24" s="79" t="s">
        <v>161</v>
      </c>
      <c r="C24" s="84" t="s">
        <v>279</v>
      </c>
      <c r="D24" s="41">
        <f>24.2-8.7</f>
        <v>15.5</v>
      </c>
      <c r="E24" s="41">
        <v>150</v>
      </c>
      <c r="F24" s="41">
        <f>54.5-8.1</f>
        <v>46.4</v>
      </c>
      <c r="G24" s="111">
        <f t="shared" si="2"/>
        <v>-103.6</v>
      </c>
      <c r="H24" s="111">
        <f t="shared" si="3"/>
        <v>30.933333333333334</v>
      </c>
      <c r="K24" s="114">
        <v>1030</v>
      </c>
      <c r="L24" s="170">
        <f>SUM(D35,D104,D137,D180,D195,D253,D213)</f>
        <v>154.69999999999999</v>
      </c>
      <c r="M24" s="170">
        <f>SUM(E35,E104,E137,E180,E195,E253)</f>
        <v>98</v>
      </c>
      <c r="N24" s="170">
        <f>SUM(F35,F104,F137,F180,F195,F253)</f>
        <v>408.09999999999997</v>
      </c>
      <c r="O24" s="124"/>
      <c r="P24" s="124"/>
      <c r="Q24" s="124"/>
    </row>
    <row r="25" spans="1:18" ht="26.25" customHeight="1">
      <c r="A25" s="82"/>
      <c r="B25" s="79" t="s">
        <v>162</v>
      </c>
      <c r="C25" s="84"/>
      <c r="D25" s="41"/>
      <c r="E25" s="41">
        <v>18.7</v>
      </c>
      <c r="F25" s="41"/>
      <c r="G25" s="111">
        <f t="shared" si="2"/>
        <v>-18.7</v>
      </c>
      <c r="H25" s="111">
        <f t="shared" si="3"/>
        <v>0</v>
      </c>
      <c r="K25" s="114">
        <v>1031</v>
      </c>
      <c r="L25" s="129"/>
      <c r="M25" s="129"/>
      <c r="N25" s="129"/>
      <c r="O25" s="124"/>
      <c r="P25" s="124"/>
      <c r="Q25" s="124"/>
    </row>
    <row r="26" spans="1:18" ht="29.25" customHeight="1">
      <c r="A26" s="82"/>
      <c r="B26" s="83" t="s">
        <v>163</v>
      </c>
      <c r="C26" s="84"/>
      <c r="D26" s="41">
        <v>11.5</v>
      </c>
      <c r="E26" s="41">
        <v>9.6</v>
      </c>
      <c r="F26" s="41"/>
      <c r="G26" s="111">
        <f t="shared" si="2"/>
        <v>-9.6</v>
      </c>
      <c r="H26" s="111">
        <f t="shared" si="3"/>
        <v>0</v>
      </c>
      <c r="K26" s="114">
        <v>1032</v>
      </c>
      <c r="L26" s="129">
        <f>SUM(D36)</f>
        <v>63</v>
      </c>
      <c r="M26" s="129">
        <f t="shared" ref="M26:N26" si="9">SUM(E36)</f>
        <v>0</v>
      </c>
      <c r="N26" s="129">
        <f t="shared" si="9"/>
        <v>282.8</v>
      </c>
      <c r="O26" s="124"/>
      <c r="P26" s="124"/>
      <c r="Q26" s="124"/>
    </row>
    <row r="27" spans="1:18" ht="26.25" customHeight="1">
      <c r="A27" s="82"/>
      <c r="B27" s="79" t="s">
        <v>164</v>
      </c>
      <c r="C27" s="84"/>
      <c r="D27" s="41">
        <v>5.0999999999999996</v>
      </c>
      <c r="E27" s="41">
        <v>5.7</v>
      </c>
      <c r="F27" s="41"/>
      <c r="G27" s="111">
        <f t="shared" si="2"/>
        <v>-5.7</v>
      </c>
      <c r="H27" s="111">
        <f t="shared" si="3"/>
        <v>0</v>
      </c>
      <c r="K27" s="114">
        <v>1033</v>
      </c>
      <c r="L27" s="129">
        <f>SUM(D37)</f>
        <v>48.4</v>
      </c>
      <c r="M27" s="129">
        <f t="shared" ref="M27:N27" si="10">SUM(E37)</f>
        <v>0</v>
      </c>
      <c r="N27" s="129">
        <f t="shared" si="10"/>
        <v>74.099999999999994</v>
      </c>
      <c r="O27" s="124"/>
      <c r="P27" s="124"/>
      <c r="Q27" s="124"/>
    </row>
    <row r="28" spans="1:18" ht="26.25" customHeight="1">
      <c r="A28" s="96" t="s">
        <v>88</v>
      </c>
      <c r="B28" s="89" t="s">
        <v>92</v>
      </c>
      <c r="C28" s="90">
        <v>1020</v>
      </c>
      <c r="D28" s="22">
        <f>D29+D30+D31</f>
        <v>1226.0999999999999</v>
      </c>
      <c r="E28" s="22">
        <f>E29+E30+E31</f>
        <v>1083.8</v>
      </c>
      <c r="F28" s="22">
        <f>F29+F30+F31</f>
        <v>1291.8</v>
      </c>
      <c r="G28" s="110">
        <f>F28-E28</f>
        <v>208</v>
      </c>
      <c r="H28" s="110">
        <f>(F28/E28)*100</f>
        <v>119.19173279202806</v>
      </c>
      <c r="K28" s="114">
        <v>1034</v>
      </c>
      <c r="L28" s="129"/>
      <c r="M28" s="129"/>
      <c r="N28" s="129"/>
    </row>
    <row r="29" spans="1:18" ht="26.25" customHeight="1">
      <c r="A29" s="85" t="s">
        <v>165</v>
      </c>
      <c r="B29" s="161" t="s">
        <v>2</v>
      </c>
      <c r="C29" s="163">
        <v>1022</v>
      </c>
      <c r="D29" s="70">
        <f>1019.4-27.7</f>
        <v>991.69999999999993</v>
      </c>
      <c r="E29" s="70">
        <v>880</v>
      </c>
      <c r="F29" s="70">
        <f>1064.5-0.7</f>
        <v>1063.8</v>
      </c>
      <c r="G29" s="158">
        <f t="shared" ref="G29:G34" si="11">F29-E29</f>
        <v>183.79999999999995</v>
      </c>
      <c r="H29" s="158">
        <f t="shared" ref="H29:H34" si="12">(F29/E29)*100</f>
        <v>120.88636363636363</v>
      </c>
      <c r="K29" s="114">
        <v>1035</v>
      </c>
      <c r="L29" s="129">
        <f>SUM(D105,D138,D181,D196,D214,D254)</f>
        <v>43.3</v>
      </c>
      <c r="M29" s="129">
        <f>SUM(E105,E138,E181,E196,E214,E254)</f>
        <v>98</v>
      </c>
      <c r="N29" s="129">
        <f>SUM(F105,F138,F181,F196,F214,F254)</f>
        <v>51.2</v>
      </c>
      <c r="O29" s="115"/>
      <c r="P29" s="115"/>
      <c r="Q29" s="115"/>
    </row>
    <row r="30" spans="1:18" ht="26.25" customHeight="1">
      <c r="A30" s="85" t="s">
        <v>166</v>
      </c>
      <c r="B30" s="161" t="s">
        <v>3</v>
      </c>
      <c r="C30" s="163">
        <v>1023</v>
      </c>
      <c r="D30" s="70">
        <f>225.9</f>
        <v>225.9</v>
      </c>
      <c r="E30" s="70">
        <v>189.2</v>
      </c>
      <c r="F30" s="70">
        <v>228</v>
      </c>
      <c r="G30" s="158">
        <f t="shared" si="11"/>
        <v>38.800000000000011</v>
      </c>
      <c r="H30" s="158">
        <f t="shared" si="12"/>
        <v>120.50739957716704</v>
      </c>
      <c r="N30" s="114"/>
      <c r="O30" s="115"/>
      <c r="P30" s="115"/>
      <c r="Q30" s="115"/>
    </row>
    <row r="31" spans="1:18" ht="26.25" customHeight="1">
      <c r="A31" s="85" t="s">
        <v>167</v>
      </c>
      <c r="B31" s="161" t="s">
        <v>168</v>
      </c>
      <c r="C31" s="162">
        <v>1025</v>
      </c>
      <c r="D31" s="70">
        <f>SUM(D32:D34)</f>
        <v>8.5</v>
      </c>
      <c r="E31" s="70">
        <f>SUM(E32:E34)</f>
        <v>14.6</v>
      </c>
      <c r="F31" s="70">
        <f>SUM(F32:F34)</f>
        <v>0</v>
      </c>
      <c r="G31" s="158">
        <f t="shared" si="11"/>
        <v>-14.6</v>
      </c>
      <c r="H31" s="158">
        <f t="shared" si="12"/>
        <v>0</v>
      </c>
      <c r="K31" s="114">
        <v>9000</v>
      </c>
      <c r="L31" s="170">
        <f>L11+L18+L25</f>
        <v>3997.3</v>
      </c>
      <c r="M31" s="114">
        <f t="shared" ref="M31:N31" si="13">M11+M18+M25</f>
        <v>3143.3999999999996</v>
      </c>
      <c r="N31" s="114">
        <f t="shared" si="13"/>
        <v>3359.8999999999996</v>
      </c>
      <c r="O31" s="116"/>
      <c r="P31" s="116"/>
      <c r="Q31" s="116"/>
    </row>
    <row r="32" spans="1:18" ht="26.25" customHeight="1">
      <c r="A32" s="75"/>
      <c r="B32" s="79" t="s">
        <v>164</v>
      </c>
      <c r="C32" s="80"/>
      <c r="D32" s="24">
        <v>1</v>
      </c>
      <c r="E32" s="24">
        <v>1.7</v>
      </c>
      <c r="F32" s="24"/>
      <c r="G32" s="111">
        <f t="shared" si="11"/>
        <v>-1.7</v>
      </c>
      <c r="H32" s="111">
        <f t="shared" si="12"/>
        <v>0</v>
      </c>
      <c r="K32" s="114">
        <v>9010</v>
      </c>
      <c r="L32" s="129">
        <f>L12+L19+L26</f>
        <v>15880.600000000002</v>
      </c>
      <c r="M32" s="33">
        <f t="shared" ref="M32:N32" si="14">M12+M19+M26</f>
        <v>13100.6</v>
      </c>
      <c r="N32" s="33">
        <f t="shared" si="14"/>
        <v>17501.7</v>
      </c>
      <c r="O32" s="116"/>
      <c r="P32" s="116"/>
      <c r="Q32" s="116"/>
    </row>
    <row r="33" spans="1:17" ht="40.5" customHeight="1">
      <c r="A33" s="75"/>
      <c r="B33" s="79" t="s">
        <v>169</v>
      </c>
      <c r="C33" s="80"/>
      <c r="D33" s="24">
        <v>6.6</v>
      </c>
      <c r="E33" s="24">
        <v>12</v>
      </c>
      <c r="F33" s="24"/>
      <c r="G33" s="111">
        <f t="shared" si="11"/>
        <v>-12</v>
      </c>
      <c r="H33" s="111">
        <f t="shared" si="12"/>
        <v>0</v>
      </c>
      <c r="K33" s="114">
        <v>9020</v>
      </c>
      <c r="L33" s="129">
        <f>L13+L20+L27</f>
        <v>3390.5000000000005</v>
      </c>
      <c r="M33" s="33">
        <f t="shared" ref="M33:N33" si="15">M13+M20+M27</f>
        <v>2816.7999999999997</v>
      </c>
      <c r="N33" s="33">
        <f t="shared" si="15"/>
        <v>3668.2999999999997</v>
      </c>
      <c r="O33" s="115"/>
      <c r="P33" s="115"/>
      <c r="Q33" s="115"/>
    </row>
    <row r="34" spans="1:17" ht="26.25" customHeight="1">
      <c r="A34" s="75"/>
      <c r="B34" s="79" t="s">
        <v>170</v>
      </c>
      <c r="C34" s="80"/>
      <c r="D34" s="24">
        <v>0.9</v>
      </c>
      <c r="E34" s="24">
        <v>0.9</v>
      </c>
      <c r="F34" s="24"/>
      <c r="G34" s="111">
        <f t="shared" si="11"/>
        <v>-0.9</v>
      </c>
      <c r="H34" s="111">
        <f t="shared" si="12"/>
        <v>0</v>
      </c>
      <c r="K34" s="114">
        <v>9030</v>
      </c>
      <c r="L34" s="129">
        <f>L14+L21+L28</f>
        <v>436.9</v>
      </c>
      <c r="M34" s="33">
        <f t="shared" ref="M34:N34" si="16">M14+M21+M28</f>
        <v>0</v>
      </c>
      <c r="N34" s="33">
        <f t="shared" si="16"/>
        <v>744</v>
      </c>
      <c r="O34" s="123"/>
      <c r="P34" s="123"/>
      <c r="Q34" s="123"/>
    </row>
    <row r="35" spans="1:17" ht="25.5" customHeight="1">
      <c r="A35" s="96" t="s">
        <v>91</v>
      </c>
      <c r="B35" s="95" t="s">
        <v>93</v>
      </c>
      <c r="C35" s="90">
        <v>1030</v>
      </c>
      <c r="D35" s="22">
        <f>D36+D37</f>
        <v>111.4</v>
      </c>
      <c r="E35" s="22">
        <f>E36+E37</f>
        <v>0</v>
      </c>
      <c r="F35" s="22">
        <f>F36+F37</f>
        <v>356.9</v>
      </c>
      <c r="G35" s="110">
        <f>F35-E35</f>
        <v>356.9</v>
      </c>
      <c r="H35" s="166" t="e">
        <f>(F35/E35)*100</f>
        <v>#DIV/0!</v>
      </c>
      <c r="K35" s="114">
        <v>9040</v>
      </c>
      <c r="L35" s="129">
        <f>L15+L22+L29</f>
        <v>1703.0709999999997</v>
      </c>
      <c r="M35" s="33">
        <f t="shared" ref="M35:N35" si="17">M15+M22+M29</f>
        <v>3839.1</v>
      </c>
      <c r="N35" s="33">
        <f t="shared" si="17"/>
        <v>3192.9999999999995</v>
      </c>
    </row>
    <row r="36" spans="1:17" ht="26.25" customHeight="1">
      <c r="A36" s="85" t="s">
        <v>171</v>
      </c>
      <c r="B36" s="161" t="s">
        <v>2</v>
      </c>
      <c r="C36" s="163">
        <v>1032</v>
      </c>
      <c r="D36" s="70">
        <f>63</f>
        <v>63</v>
      </c>
      <c r="E36" s="70"/>
      <c r="F36" s="70">
        <v>282.8</v>
      </c>
      <c r="G36" s="158">
        <f t="shared" ref="G36:G37" si="18">F36-E36</f>
        <v>282.8</v>
      </c>
      <c r="H36" s="164" t="e">
        <f t="shared" ref="H36:H37" si="19">(F36/E36)*100</f>
        <v>#DIV/0!</v>
      </c>
      <c r="K36" s="114">
        <v>9050</v>
      </c>
      <c r="L36" s="170">
        <f>SUM(L31:L35)</f>
        <v>25408.371000000003</v>
      </c>
      <c r="M36" s="114">
        <f t="shared" ref="M36:N36" si="20">SUM(M31:M35)</f>
        <v>22899.899999999998</v>
      </c>
      <c r="N36" s="114">
        <f t="shared" si="20"/>
        <v>28466.899999999998</v>
      </c>
    </row>
    <row r="37" spans="1:17" ht="23.25" customHeight="1">
      <c r="A37" s="85" t="s">
        <v>172</v>
      </c>
      <c r="B37" s="161" t="s">
        <v>3</v>
      </c>
      <c r="C37" s="163">
        <v>1033</v>
      </c>
      <c r="D37" s="70">
        <f>48.4</f>
        <v>48.4</v>
      </c>
      <c r="E37" s="70"/>
      <c r="F37" s="70">
        <v>74.099999999999994</v>
      </c>
      <c r="G37" s="158">
        <f t="shared" si="18"/>
        <v>74.099999999999994</v>
      </c>
      <c r="H37" s="164" t="e">
        <f t="shared" si="19"/>
        <v>#DIV/0!</v>
      </c>
    </row>
    <row r="38" spans="1:17" ht="42" customHeight="1">
      <c r="A38" s="138" t="s">
        <v>94</v>
      </c>
      <c r="B38" s="89" t="s">
        <v>308</v>
      </c>
      <c r="C38" s="81"/>
      <c r="D38" s="22">
        <f>D40</f>
        <v>1258.8</v>
      </c>
      <c r="E38" s="41"/>
      <c r="F38" s="22">
        <f>F40</f>
        <v>1776</v>
      </c>
      <c r="G38" s="110">
        <f>F38-E38</f>
        <v>1776</v>
      </c>
      <c r="H38" s="160" t="e">
        <f>(F38/E38)*100</f>
        <v>#DIV/0!</v>
      </c>
    </row>
    <row r="39" spans="1:17" ht="23.25" customHeight="1">
      <c r="A39" s="127"/>
      <c r="B39" s="97" t="s">
        <v>86</v>
      </c>
      <c r="C39" s="91"/>
      <c r="D39" s="41"/>
      <c r="E39" s="41"/>
      <c r="F39" s="22"/>
      <c r="G39" s="111"/>
      <c r="H39" s="111"/>
    </row>
    <row r="40" spans="1:17" ht="26.25" customHeight="1">
      <c r="A40" s="96" t="s">
        <v>95</v>
      </c>
      <c r="B40" s="100" t="s">
        <v>90</v>
      </c>
      <c r="C40" s="90">
        <v>1010</v>
      </c>
      <c r="D40" s="22">
        <f>D41+D42</f>
        <v>1258.8</v>
      </c>
      <c r="E40" s="22"/>
      <c r="F40" s="22">
        <f>F41+F42</f>
        <v>1776</v>
      </c>
      <c r="G40" s="110">
        <f t="shared" ref="G40:G42" si="21">F40-E40</f>
        <v>1776</v>
      </c>
      <c r="H40" s="166" t="e">
        <f t="shared" ref="H40:H42" si="22">(F40/E40)*100</f>
        <v>#DIV/0!</v>
      </c>
    </row>
    <row r="41" spans="1:17" ht="27.75" customHeight="1">
      <c r="A41" s="85" t="s">
        <v>174</v>
      </c>
      <c r="B41" s="161" t="s">
        <v>2</v>
      </c>
      <c r="C41" s="163">
        <v>1012</v>
      </c>
      <c r="D41" s="70">
        <v>981.5</v>
      </c>
      <c r="E41" s="70"/>
      <c r="F41" s="70">
        <v>1385.3</v>
      </c>
      <c r="G41" s="158">
        <f t="shared" si="21"/>
        <v>1385.3</v>
      </c>
      <c r="H41" s="164" t="e">
        <f t="shared" si="22"/>
        <v>#DIV/0!</v>
      </c>
    </row>
    <row r="42" spans="1:17" ht="27.75" customHeight="1">
      <c r="A42" s="85" t="s">
        <v>177</v>
      </c>
      <c r="B42" s="161" t="s">
        <v>3</v>
      </c>
      <c r="C42" s="163">
        <v>1013</v>
      </c>
      <c r="D42" s="70">
        <v>277.3</v>
      </c>
      <c r="E42" s="70"/>
      <c r="F42" s="70">
        <v>390.7</v>
      </c>
      <c r="G42" s="158">
        <f t="shared" si="21"/>
        <v>390.7</v>
      </c>
      <c r="H42" s="164" t="e">
        <f t="shared" si="22"/>
        <v>#DIV/0!</v>
      </c>
    </row>
    <row r="43" spans="1:17" ht="41.25" customHeight="1">
      <c r="A43" s="75" t="s">
        <v>106</v>
      </c>
      <c r="B43" s="76" t="s">
        <v>372</v>
      </c>
      <c r="C43" s="81"/>
      <c r="D43" s="22"/>
      <c r="E43" s="22"/>
      <c r="F43" s="22">
        <v>120.3</v>
      </c>
      <c r="G43" s="110"/>
      <c r="H43" s="166"/>
    </row>
    <row r="44" spans="1:17" ht="23.25" customHeight="1">
      <c r="A44" s="85"/>
      <c r="B44" s="106" t="s">
        <v>86</v>
      </c>
      <c r="C44" s="163"/>
      <c r="D44" s="70"/>
      <c r="E44" s="70"/>
      <c r="F44" s="70"/>
      <c r="G44" s="158"/>
      <c r="H44" s="164"/>
    </row>
    <row r="45" spans="1:17" ht="23.25" customHeight="1">
      <c r="A45" s="75" t="s">
        <v>107</v>
      </c>
      <c r="B45" s="76" t="s">
        <v>90</v>
      </c>
      <c r="C45" s="81">
        <v>1010</v>
      </c>
      <c r="D45" s="22"/>
      <c r="E45" s="22"/>
      <c r="F45" s="22">
        <f>F46+F52</f>
        <v>120.29999999999998</v>
      </c>
      <c r="G45" s="110"/>
      <c r="H45" s="166"/>
    </row>
    <row r="46" spans="1:17" ht="23.25" customHeight="1">
      <c r="A46" s="85" t="s">
        <v>194</v>
      </c>
      <c r="B46" s="161" t="s">
        <v>112</v>
      </c>
      <c r="C46" s="163">
        <v>1011</v>
      </c>
      <c r="D46" s="70"/>
      <c r="E46" s="70"/>
      <c r="F46" s="70">
        <f>SUM(F47:F51)</f>
        <v>90.399999999999991</v>
      </c>
      <c r="G46" s="158"/>
      <c r="H46" s="164"/>
    </row>
    <row r="47" spans="1:17" ht="23.25" customHeight="1">
      <c r="A47" s="85"/>
      <c r="B47" s="79" t="s">
        <v>148</v>
      </c>
      <c r="C47" s="163"/>
      <c r="D47" s="70"/>
      <c r="E47" s="70"/>
      <c r="F47" s="24">
        <v>43.4</v>
      </c>
      <c r="G47" s="158"/>
      <c r="H47" s="164"/>
    </row>
    <row r="48" spans="1:17" ht="23.25" customHeight="1">
      <c r="A48" s="85"/>
      <c r="B48" s="79" t="s">
        <v>149</v>
      </c>
      <c r="C48" s="163"/>
      <c r="D48" s="70"/>
      <c r="E48" s="70"/>
      <c r="F48" s="24">
        <v>20.7</v>
      </c>
      <c r="G48" s="158"/>
      <c r="H48" s="164"/>
    </row>
    <row r="49" spans="1:10" ht="23.25" customHeight="1">
      <c r="A49" s="85"/>
      <c r="B49" s="79" t="s">
        <v>298</v>
      </c>
      <c r="C49" s="163"/>
      <c r="D49" s="70"/>
      <c r="E49" s="70"/>
      <c r="F49" s="24">
        <v>6.8</v>
      </c>
      <c r="G49" s="158"/>
      <c r="H49" s="164"/>
    </row>
    <row r="50" spans="1:10" ht="39.75" customHeight="1">
      <c r="A50" s="85"/>
      <c r="B50" s="79" t="s">
        <v>175</v>
      </c>
      <c r="C50" s="163"/>
      <c r="D50" s="70"/>
      <c r="E50" s="70"/>
      <c r="F50" s="24">
        <f>27.6-13.1</f>
        <v>14.500000000000002</v>
      </c>
      <c r="G50" s="158"/>
      <c r="H50" s="164"/>
    </row>
    <row r="51" spans="1:10" ht="28.5" customHeight="1">
      <c r="A51" s="85"/>
      <c r="B51" s="79" t="s">
        <v>176</v>
      </c>
      <c r="C51" s="163"/>
      <c r="D51" s="70"/>
      <c r="E51" s="70"/>
      <c r="F51" s="24">
        <f>7.1-2.1</f>
        <v>5</v>
      </c>
      <c r="G51" s="158"/>
      <c r="H51" s="164"/>
    </row>
    <row r="52" spans="1:10" ht="23.25" customHeight="1">
      <c r="A52" s="85" t="s">
        <v>321</v>
      </c>
      <c r="B52" s="165" t="s">
        <v>99</v>
      </c>
      <c r="C52" s="118">
        <v>1015</v>
      </c>
      <c r="D52" s="70"/>
      <c r="E52" s="70"/>
      <c r="F52" s="70">
        <f>SUM(F53:F54)</f>
        <v>29.9</v>
      </c>
      <c r="G52" s="158"/>
      <c r="H52" s="164"/>
    </row>
    <row r="53" spans="1:10" ht="23.25" customHeight="1">
      <c r="A53" s="85"/>
      <c r="B53" s="79" t="s">
        <v>161</v>
      </c>
      <c r="C53" s="84"/>
      <c r="D53" s="24"/>
      <c r="E53" s="24"/>
      <c r="F53" s="24">
        <f>25.8</f>
        <v>25.8</v>
      </c>
      <c r="G53" s="158"/>
      <c r="H53" s="164"/>
    </row>
    <row r="54" spans="1:10" ht="23.25" customHeight="1">
      <c r="A54" s="85"/>
      <c r="B54" s="79" t="s">
        <v>182</v>
      </c>
      <c r="C54" s="84"/>
      <c r="D54" s="24"/>
      <c r="E54" s="24"/>
      <c r="F54" s="24">
        <v>4.0999999999999996</v>
      </c>
      <c r="G54" s="158"/>
      <c r="H54" s="164"/>
    </row>
    <row r="55" spans="1:10" ht="44.25" customHeight="1">
      <c r="A55" s="138" t="s">
        <v>108</v>
      </c>
      <c r="B55" s="76" t="s">
        <v>309</v>
      </c>
      <c r="C55" s="90"/>
      <c r="D55" s="22">
        <f>D57+D91+D104</f>
        <v>249.89999999999998</v>
      </c>
      <c r="E55" s="22">
        <f>E57+E91+E104</f>
        <v>830</v>
      </c>
      <c r="F55" s="22">
        <f>F57+F91+F104</f>
        <v>211.5</v>
      </c>
      <c r="G55" s="110">
        <f>F55-E55</f>
        <v>-618.5</v>
      </c>
      <c r="H55" s="110">
        <f>(F55/E55)*100</f>
        <v>25.481927710843372</v>
      </c>
      <c r="J55" s="33">
        <v>211.5</v>
      </c>
    </row>
    <row r="56" spans="1:10" ht="27" customHeight="1">
      <c r="A56" s="127"/>
      <c r="B56" s="97" t="s">
        <v>86</v>
      </c>
      <c r="C56" s="91"/>
      <c r="D56" s="24"/>
      <c r="E56" s="24"/>
      <c r="F56" s="24"/>
      <c r="G56" s="110"/>
      <c r="H56" s="110"/>
    </row>
    <row r="57" spans="1:10" ht="26.25" customHeight="1">
      <c r="A57" s="96" t="s">
        <v>109</v>
      </c>
      <c r="B57" s="100" t="s">
        <v>90</v>
      </c>
      <c r="C57" s="90">
        <v>1010</v>
      </c>
      <c r="D57" s="22">
        <f>D58+D64+D65+D66+D67</f>
        <v>192.1</v>
      </c>
      <c r="E57" s="22">
        <f>E58+E64+E65+E66+E67</f>
        <v>785</v>
      </c>
      <c r="F57" s="22">
        <f>F58+F64+F65+F66+F67</f>
        <v>178.1</v>
      </c>
      <c r="G57" s="110">
        <f>F57-E57</f>
        <v>-606.9</v>
      </c>
      <c r="H57" s="110">
        <f>(F57/E57)*100</f>
        <v>22.687898089171973</v>
      </c>
    </row>
    <row r="58" spans="1:10" ht="26.25" customHeight="1">
      <c r="A58" s="85" t="s">
        <v>199</v>
      </c>
      <c r="B58" s="167" t="s">
        <v>112</v>
      </c>
      <c r="C58" s="162">
        <v>1011</v>
      </c>
      <c r="D58" s="70">
        <f>SUM(D59:D63)</f>
        <v>161</v>
      </c>
      <c r="E58" s="70">
        <f>SUM(E59:E63)</f>
        <v>143.30000000000001</v>
      </c>
      <c r="F58" s="70"/>
      <c r="G58" s="158">
        <f t="shared" ref="G58:G93" si="23">F58-E58</f>
        <v>-143.30000000000001</v>
      </c>
      <c r="H58" s="158">
        <f t="shared" ref="H58:H93" si="24">(F58/E58)*100</f>
        <v>0</v>
      </c>
    </row>
    <row r="59" spans="1:10" ht="27.75" customHeight="1">
      <c r="A59" s="85"/>
      <c r="B59" s="88" t="s">
        <v>148</v>
      </c>
      <c r="C59" s="86"/>
      <c r="D59" s="24">
        <v>62.7</v>
      </c>
      <c r="E59" s="24">
        <v>45</v>
      </c>
      <c r="F59" s="119"/>
      <c r="G59" s="111">
        <f>F47-E59</f>
        <v>-1.6000000000000014</v>
      </c>
      <c r="H59" s="111">
        <f>(F47/E59)*100</f>
        <v>96.444444444444443</v>
      </c>
    </row>
    <row r="60" spans="1:10" ht="22.5" customHeight="1">
      <c r="A60" s="85"/>
      <c r="B60" s="88" t="s">
        <v>149</v>
      </c>
      <c r="C60" s="86"/>
      <c r="D60" s="24">
        <v>12.1</v>
      </c>
      <c r="E60" s="24">
        <v>25</v>
      </c>
      <c r="F60" s="119"/>
      <c r="G60" s="111">
        <f>F48-E60</f>
        <v>-4.3000000000000007</v>
      </c>
      <c r="H60" s="111">
        <f>(F48/E60)*100</f>
        <v>82.8</v>
      </c>
    </row>
    <row r="61" spans="1:10" ht="29.25" customHeight="1">
      <c r="A61" s="85"/>
      <c r="B61" s="88" t="s">
        <v>298</v>
      </c>
      <c r="C61" s="86"/>
      <c r="D61" s="24"/>
      <c r="E61" s="24">
        <v>5</v>
      </c>
      <c r="F61" s="119"/>
      <c r="G61" s="111">
        <f>F49-E61</f>
        <v>1.7999999999999998</v>
      </c>
      <c r="H61" s="111">
        <f>(F49/E61)*100</f>
        <v>136</v>
      </c>
    </row>
    <row r="62" spans="1:10" ht="39" customHeight="1">
      <c r="A62" s="75"/>
      <c r="B62" s="88" t="s">
        <v>175</v>
      </c>
      <c r="C62" s="87"/>
      <c r="D62" s="24">
        <v>73.900000000000006</v>
      </c>
      <c r="E62" s="24">
        <v>50.3</v>
      </c>
      <c r="F62" s="119"/>
      <c r="G62" s="111">
        <f>F50-E62</f>
        <v>-35.799999999999997</v>
      </c>
      <c r="H62" s="111">
        <f>(F50/E62)*100</f>
        <v>28.827037773359848</v>
      </c>
    </row>
    <row r="63" spans="1:10" ht="27" customHeight="1">
      <c r="A63" s="75"/>
      <c r="B63" s="88" t="s">
        <v>176</v>
      </c>
      <c r="C63" s="80"/>
      <c r="D63" s="24">
        <v>12.3</v>
      </c>
      <c r="E63" s="24">
        <v>18</v>
      </c>
      <c r="F63" s="119"/>
      <c r="G63" s="111">
        <f>F51-E63</f>
        <v>-13</v>
      </c>
      <c r="H63" s="111">
        <f>(F51/E63)*100</f>
        <v>27.777777777777779</v>
      </c>
    </row>
    <row r="64" spans="1:10" ht="28.5" customHeight="1">
      <c r="A64" s="85" t="s">
        <v>322</v>
      </c>
      <c r="B64" s="199" t="s">
        <v>2</v>
      </c>
      <c r="C64" s="162">
        <v>1012</v>
      </c>
      <c r="D64" s="70"/>
      <c r="E64" s="70"/>
      <c r="F64" s="70">
        <v>119.2</v>
      </c>
      <c r="G64" s="158">
        <f t="shared" si="23"/>
        <v>119.2</v>
      </c>
      <c r="H64" s="164" t="e">
        <f t="shared" si="24"/>
        <v>#DIV/0!</v>
      </c>
    </row>
    <row r="65" spans="1:8" ht="25.5" customHeight="1">
      <c r="A65" s="85" t="s">
        <v>323</v>
      </c>
      <c r="B65" s="199" t="s">
        <v>3</v>
      </c>
      <c r="C65" s="162">
        <v>1013</v>
      </c>
      <c r="D65" s="70"/>
      <c r="E65" s="70"/>
      <c r="F65" s="70">
        <v>24.9</v>
      </c>
      <c r="G65" s="158">
        <f t="shared" si="23"/>
        <v>24.9</v>
      </c>
      <c r="H65" s="164" t="e">
        <f t="shared" si="24"/>
        <v>#DIV/0!</v>
      </c>
    </row>
    <row r="66" spans="1:8" ht="24.75" customHeight="1">
      <c r="A66" s="85" t="s">
        <v>324</v>
      </c>
      <c r="B66" s="199" t="s">
        <v>4</v>
      </c>
      <c r="C66" s="162">
        <v>1014</v>
      </c>
      <c r="D66" s="70"/>
      <c r="E66" s="70"/>
      <c r="F66" s="70">
        <v>10.9</v>
      </c>
      <c r="G66" s="158">
        <f t="shared" si="23"/>
        <v>10.9</v>
      </c>
      <c r="H66" s="164" t="e">
        <f t="shared" si="24"/>
        <v>#DIV/0!</v>
      </c>
    </row>
    <row r="67" spans="1:8" ht="24.75" customHeight="1">
      <c r="A67" s="85" t="s">
        <v>200</v>
      </c>
      <c r="B67" s="165" t="s">
        <v>99</v>
      </c>
      <c r="C67" s="118">
        <v>1015</v>
      </c>
      <c r="D67" s="70">
        <f>SUM(D68:D90)</f>
        <v>31.1</v>
      </c>
      <c r="E67" s="70">
        <f>SUM(E68:E90)</f>
        <v>641.70000000000005</v>
      </c>
      <c r="F67" s="70">
        <f>SUM(F68:F90)</f>
        <v>23.100000000000005</v>
      </c>
      <c r="G67" s="158">
        <f t="shared" si="23"/>
        <v>-618.6</v>
      </c>
      <c r="H67" s="158">
        <f t="shared" si="24"/>
        <v>3.5998129967274433</v>
      </c>
    </row>
    <row r="68" spans="1:8" ht="27" customHeight="1">
      <c r="A68" s="75"/>
      <c r="B68" s="83" t="s">
        <v>156</v>
      </c>
      <c r="C68" s="91"/>
      <c r="D68" s="24"/>
      <c r="E68" s="24">
        <v>7.5</v>
      </c>
      <c r="F68" s="24">
        <v>3.4</v>
      </c>
      <c r="G68" s="111">
        <f t="shared" si="23"/>
        <v>-4.0999999999999996</v>
      </c>
      <c r="H68" s="111">
        <f t="shared" si="24"/>
        <v>45.333333333333329</v>
      </c>
    </row>
    <row r="69" spans="1:8" ht="24" customHeight="1">
      <c r="A69" s="75"/>
      <c r="B69" s="83" t="s">
        <v>157</v>
      </c>
      <c r="C69" s="91"/>
      <c r="D69" s="24"/>
      <c r="E69" s="24">
        <v>3</v>
      </c>
      <c r="F69" s="24"/>
      <c r="G69" s="111">
        <f t="shared" si="23"/>
        <v>-3</v>
      </c>
      <c r="H69" s="111">
        <f t="shared" si="24"/>
        <v>0</v>
      </c>
    </row>
    <row r="70" spans="1:8" ht="29.25" customHeight="1">
      <c r="A70" s="75"/>
      <c r="B70" s="83" t="s">
        <v>158</v>
      </c>
      <c r="C70" s="91"/>
      <c r="D70" s="24"/>
      <c r="E70" s="24">
        <v>12</v>
      </c>
      <c r="F70" s="24"/>
      <c r="G70" s="111">
        <f t="shared" si="23"/>
        <v>-12</v>
      </c>
      <c r="H70" s="111">
        <f t="shared" si="24"/>
        <v>0</v>
      </c>
    </row>
    <row r="71" spans="1:8" ht="26.25" customHeight="1">
      <c r="A71" s="75"/>
      <c r="B71" s="83" t="s">
        <v>160</v>
      </c>
      <c r="C71" s="91"/>
      <c r="D71" s="24"/>
      <c r="E71" s="24">
        <v>6</v>
      </c>
      <c r="F71" s="24">
        <v>3</v>
      </c>
      <c r="G71" s="111">
        <f t="shared" si="23"/>
        <v>-3</v>
      </c>
      <c r="H71" s="111">
        <f t="shared" si="24"/>
        <v>50</v>
      </c>
    </row>
    <row r="72" spans="1:8" ht="25.5" customHeight="1">
      <c r="A72" s="75"/>
      <c r="B72" s="83" t="s">
        <v>161</v>
      </c>
      <c r="C72" s="91"/>
      <c r="D72" s="24">
        <v>4.0999999999999996</v>
      </c>
      <c r="E72" s="24">
        <v>30</v>
      </c>
      <c r="F72" s="24"/>
      <c r="G72" s="111">
        <f t="shared" si="23"/>
        <v>-30</v>
      </c>
      <c r="H72" s="111">
        <f t="shared" si="24"/>
        <v>0</v>
      </c>
    </row>
    <row r="73" spans="1:8" ht="29.25" customHeight="1">
      <c r="A73" s="75"/>
      <c r="B73" s="83" t="s">
        <v>301</v>
      </c>
      <c r="C73" s="91"/>
      <c r="D73" s="24">
        <v>2.2999999999999998</v>
      </c>
      <c r="E73" s="24"/>
      <c r="F73" s="24"/>
      <c r="G73" s="111">
        <f t="shared" si="23"/>
        <v>0</v>
      </c>
      <c r="H73" s="111" t="e">
        <f t="shared" si="24"/>
        <v>#DIV/0!</v>
      </c>
    </row>
    <row r="74" spans="1:8" ht="30.75" customHeight="1">
      <c r="A74" s="75"/>
      <c r="B74" s="83" t="s">
        <v>178</v>
      </c>
      <c r="C74" s="91"/>
      <c r="D74" s="24">
        <v>0.8</v>
      </c>
      <c r="E74" s="24">
        <v>0.8</v>
      </c>
      <c r="F74" s="24"/>
      <c r="G74" s="111">
        <f t="shared" si="23"/>
        <v>-0.8</v>
      </c>
      <c r="H74" s="111">
        <f t="shared" si="24"/>
        <v>0</v>
      </c>
    </row>
    <row r="75" spans="1:8" ht="25.5" customHeight="1">
      <c r="A75" s="75"/>
      <c r="B75" s="83" t="s">
        <v>179</v>
      </c>
      <c r="C75" s="91"/>
      <c r="D75" s="24"/>
      <c r="E75" s="24">
        <v>15</v>
      </c>
      <c r="F75" s="24"/>
      <c r="G75" s="111">
        <f t="shared" si="23"/>
        <v>-15</v>
      </c>
      <c r="H75" s="111">
        <f t="shared" si="24"/>
        <v>0</v>
      </c>
    </row>
    <row r="76" spans="1:8" ht="28.5" customHeight="1">
      <c r="A76" s="75"/>
      <c r="B76" s="83" t="s">
        <v>163</v>
      </c>
      <c r="C76" s="91"/>
      <c r="D76" s="24">
        <v>10.9</v>
      </c>
      <c r="E76" s="24">
        <v>8.4</v>
      </c>
      <c r="F76" s="24">
        <v>7.7</v>
      </c>
      <c r="G76" s="111">
        <f t="shared" si="23"/>
        <v>-0.70000000000000018</v>
      </c>
      <c r="H76" s="111">
        <f t="shared" si="24"/>
        <v>91.666666666666657</v>
      </c>
    </row>
    <row r="77" spans="1:8" ht="29.25" customHeight="1">
      <c r="A77" s="75"/>
      <c r="B77" s="83" t="s">
        <v>180</v>
      </c>
      <c r="C77" s="91"/>
      <c r="D77" s="24"/>
      <c r="E77" s="24">
        <v>11</v>
      </c>
      <c r="F77" s="24"/>
      <c r="G77" s="111">
        <f t="shared" si="23"/>
        <v>-11</v>
      </c>
      <c r="H77" s="111">
        <f t="shared" si="24"/>
        <v>0</v>
      </c>
    </row>
    <row r="78" spans="1:8" ht="29.25" customHeight="1">
      <c r="A78" s="75"/>
      <c r="B78" s="83" t="s">
        <v>162</v>
      </c>
      <c r="C78" s="91"/>
      <c r="D78" s="24"/>
      <c r="E78" s="24">
        <v>8</v>
      </c>
      <c r="F78" s="24">
        <v>2.1</v>
      </c>
      <c r="G78" s="111">
        <f t="shared" si="23"/>
        <v>-5.9</v>
      </c>
      <c r="H78" s="111">
        <f t="shared" si="24"/>
        <v>26.25</v>
      </c>
    </row>
    <row r="79" spans="1:8" ht="28.5" customHeight="1">
      <c r="A79" s="75"/>
      <c r="B79" s="79" t="s">
        <v>164</v>
      </c>
      <c r="C79" s="91"/>
      <c r="D79" s="24">
        <v>4.7</v>
      </c>
      <c r="E79" s="24">
        <v>1.9</v>
      </c>
      <c r="F79" s="24">
        <v>0.3</v>
      </c>
      <c r="G79" s="111">
        <f t="shared" si="23"/>
        <v>-1.5999999999999999</v>
      </c>
      <c r="H79" s="111">
        <f t="shared" si="24"/>
        <v>15.789473684210526</v>
      </c>
    </row>
    <row r="80" spans="1:8" ht="28.5" customHeight="1">
      <c r="A80" s="75"/>
      <c r="B80" s="79" t="s">
        <v>182</v>
      </c>
      <c r="C80" s="91"/>
      <c r="D80" s="24"/>
      <c r="E80" s="24"/>
      <c r="F80" s="24">
        <f>7.6-4.1</f>
        <v>3.5</v>
      </c>
      <c r="G80" s="111">
        <f t="shared" si="23"/>
        <v>3.5</v>
      </c>
      <c r="H80" s="111" t="e">
        <f t="shared" si="24"/>
        <v>#DIV/0!</v>
      </c>
    </row>
    <row r="81" spans="1:8" ht="32.25" customHeight="1">
      <c r="A81" s="75"/>
      <c r="B81" s="79" t="s">
        <v>183</v>
      </c>
      <c r="C81" s="91"/>
      <c r="D81" s="24"/>
      <c r="E81" s="24">
        <v>1.7</v>
      </c>
      <c r="F81" s="24"/>
      <c r="G81" s="111">
        <f t="shared" si="23"/>
        <v>-1.7</v>
      </c>
      <c r="H81" s="111">
        <f t="shared" si="24"/>
        <v>0</v>
      </c>
    </row>
    <row r="82" spans="1:8" ht="25.5" customHeight="1">
      <c r="A82" s="78"/>
      <c r="B82" s="83" t="s">
        <v>185</v>
      </c>
      <c r="C82" s="80"/>
      <c r="D82" s="24">
        <v>0.3</v>
      </c>
      <c r="E82" s="24">
        <v>1.5</v>
      </c>
      <c r="F82" s="24"/>
      <c r="G82" s="111">
        <f t="shared" si="23"/>
        <v>-1.5</v>
      </c>
      <c r="H82" s="111">
        <f t="shared" si="24"/>
        <v>0</v>
      </c>
    </row>
    <row r="83" spans="1:8" ht="29.25" customHeight="1">
      <c r="A83" s="78"/>
      <c r="B83" s="83" t="s">
        <v>186</v>
      </c>
      <c r="C83" s="80"/>
      <c r="D83" s="24">
        <v>1.8</v>
      </c>
      <c r="E83" s="24">
        <v>259</v>
      </c>
      <c r="F83" s="24">
        <v>0.1</v>
      </c>
      <c r="G83" s="111">
        <f t="shared" si="23"/>
        <v>-258.89999999999998</v>
      </c>
      <c r="H83" s="111">
        <f t="shared" si="24"/>
        <v>3.8610038610038609E-2</v>
      </c>
    </row>
    <row r="84" spans="1:8" ht="28.5" customHeight="1">
      <c r="A84" s="78"/>
      <c r="B84" s="92" t="s">
        <v>187</v>
      </c>
      <c r="C84" s="80"/>
      <c r="D84" s="24">
        <v>0.2</v>
      </c>
      <c r="E84" s="24">
        <v>12.9</v>
      </c>
      <c r="F84" s="24">
        <v>0.1</v>
      </c>
      <c r="G84" s="111">
        <f t="shared" si="23"/>
        <v>-12.8</v>
      </c>
      <c r="H84" s="111">
        <f t="shared" si="24"/>
        <v>0.77519379844961245</v>
      </c>
    </row>
    <row r="85" spans="1:8" ht="30.75" customHeight="1">
      <c r="A85" s="78"/>
      <c r="B85" s="92" t="s">
        <v>188</v>
      </c>
      <c r="C85" s="80"/>
      <c r="D85" s="24"/>
      <c r="E85" s="24">
        <v>259</v>
      </c>
      <c r="F85" s="24">
        <f>8.1-5.2</f>
        <v>2.8999999999999995</v>
      </c>
      <c r="G85" s="111">
        <f t="shared" si="23"/>
        <v>-256.10000000000002</v>
      </c>
      <c r="H85" s="111">
        <f t="shared" si="24"/>
        <v>1.1196911196911195</v>
      </c>
    </row>
    <row r="86" spans="1:8" ht="25.5" customHeight="1">
      <c r="A86" s="78"/>
      <c r="B86" s="92" t="s">
        <v>189</v>
      </c>
      <c r="C86" s="80"/>
      <c r="D86" s="24">
        <v>0.2</v>
      </c>
      <c r="E86" s="24">
        <v>0.5</v>
      </c>
      <c r="F86" s="24"/>
      <c r="G86" s="111">
        <f t="shared" si="23"/>
        <v>-0.5</v>
      </c>
      <c r="H86" s="111">
        <f t="shared" si="24"/>
        <v>0</v>
      </c>
    </row>
    <row r="87" spans="1:8" ht="28.5" customHeight="1">
      <c r="A87" s="78"/>
      <c r="B87" s="92" t="s">
        <v>304</v>
      </c>
      <c r="C87" s="80"/>
      <c r="D87" s="24">
        <v>1.6</v>
      </c>
      <c r="E87" s="24"/>
      <c r="F87" s="24"/>
      <c r="G87" s="111">
        <f t="shared" si="23"/>
        <v>0</v>
      </c>
      <c r="H87" s="160" t="e">
        <f t="shared" si="24"/>
        <v>#DIV/0!</v>
      </c>
    </row>
    <row r="88" spans="1:8" ht="27.75" customHeight="1">
      <c r="A88" s="78"/>
      <c r="B88" s="92" t="s">
        <v>300</v>
      </c>
      <c r="C88" s="80"/>
      <c r="D88" s="24">
        <v>2.5</v>
      </c>
      <c r="E88" s="24"/>
      <c r="F88" s="24"/>
      <c r="G88" s="111">
        <f t="shared" si="23"/>
        <v>0</v>
      </c>
      <c r="H88" s="160" t="e">
        <f t="shared" si="24"/>
        <v>#DIV/0!</v>
      </c>
    </row>
    <row r="89" spans="1:8" ht="28.5" customHeight="1">
      <c r="A89" s="78"/>
      <c r="B89" s="92" t="s">
        <v>299</v>
      </c>
      <c r="C89" s="80"/>
      <c r="D89" s="24">
        <v>1.7</v>
      </c>
      <c r="E89" s="24"/>
      <c r="F89" s="24"/>
      <c r="G89" s="111">
        <f t="shared" si="23"/>
        <v>0</v>
      </c>
      <c r="H89" s="160" t="e">
        <f t="shared" si="24"/>
        <v>#DIV/0!</v>
      </c>
    </row>
    <row r="90" spans="1:8" ht="32.25" customHeight="1">
      <c r="A90" s="78"/>
      <c r="B90" s="79" t="s">
        <v>190</v>
      </c>
      <c r="C90" s="80"/>
      <c r="D90" s="24"/>
      <c r="E90" s="24">
        <v>3.5</v>
      </c>
      <c r="F90" s="24"/>
      <c r="G90" s="111">
        <f t="shared" si="23"/>
        <v>-3.5</v>
      </c>
      <c r="H90" s="111">
        <f t="shared" si="24"/>
        <v>0</v>
      </c>
    </row>
    <row r="91" spans="1:8" ht="26.25" customHeight="1">
      <c r="A91" s="75" t="s">
        <v>110</v>
      </c>
      <c r="B91" s="93" t="s">
        <v>92</v>
      </c>
      <c r="C91" s="77">
        <v>1020</v>
      </c>
      <c r="D91" s="22">
        <f>D92+D95</f>
        <v>22.5</v>
      </c>
      <c r="E91" s="22">
        <f>E92+E95</f>
        <v>16.399999999999999</v>
      </c>
      <c r="F91" s="22">
        <f>F92+F95</f>
        <v>21</v>
      </c>
      <c r="G91" s="110">
        <f t="shared" si="23"/>
        <v>4.6000000000000014</v>
      </c>
      <c r="H91" s="110">
        <f t="shared" si="24"/>
        <v>128.04878048780489</v>
      </c>
    </row>
    <row r="92" spans="1:8" ht="26.25" customHeight="1">
      <c r="A92" s="85" t="s">
        <v>325</v>
      </c>
      <c r="B92" s="167" t="s">
        <v>112</v>
      </c>
      <c r="C92" s="162">
        <v>1021</v>
      </c>
      <c r="D92" s="70">
        <f>SUM(D93:D94)</f>
        <v>5.8</v>
      </c>
      <c r="E92" s="70">
        <f>SUM(E93:E94)</f>
        <v>13</v>
      </c>
      <c r="F92" s="70">
        <f>SUM(F93:F94)</f>
        <v>4.7</v>
      </c>
      <c r="G92" s="158">
        <f t="shared" si="23"/>
        <v>-8.3000000000000007</v>
      </c>
      <c r="H92" s="158">
        <f t="shared" si="24"/>
        <v>36.153846153846153</v>
      </c>
    </row>
    <row r="93" spans="1:8" ht="40.5" customHeight="1">
      <c r="A93" s="85"/>
      <c r="B93" s="79" t="s">
        <v>175</v>
      </c>
      <c r="C93" s="80"/>
      <c r="D93" s="24">
        <v>1.3</v>
      </c>
      <c r="E93" s="24">
        <v>13</v>
      </c>
      <c r="F93" s="24">
        <v>0.5</v>
      </c>
      <c r="G93" s="111">
        <f t="shared" si="23"/>
        <v>-12.5</v>
      </c>
      <c r="H93" s="111">
        <f t="shared" si="24"/>
        <v>3.8461538461538463</v>
      </c>
    </row>
    <row r="94" spans="1:8" ht="27" customHeight="1">
      <c r="A94" s="85"/>
      <c r="B94" s="88" t="s">
        <v>176</v>
      </c>
      <c r="C94" s="80"/>
      <c r="D94" s="24">
        <v>4.5</v>
      </c>
      <c r="E94" s="24"/>
      <c r="F94" s="24">
        <v>4.2</v>
      </c>
      <c r="G94" s="111">
        <f>F94-E94</f>
        <v>4.2</v>
      </c>
      <c r="H94" s="111" t="e">
        <f>(F94/E94)*100</f>
        <v>#DIV/0!</v>
      </c>
    </row>
    <row r="95" spans="1:8" ht="27" customHeight="1">
      <c r="A95" s="85" t="s">
        <v>202</v>
      </c>
      <c r="B95" s="167" t="s">
        <v>191</v>
      </c>
      <c r="C95" s="162">
        <v>1025</v>
      </c>
      <c r="D95" s="70">
        <f>SUM(D96:D103)</f>
        <v>16.7</v>
      </c>
      <c r="E95" s="70">
        <f>SUM(E96:E103)</f>
        <v>3.4</v>
      </c>
      <c r="F95" s="70">
        <f>SUM(F96:F103)</f>
        <v>16.3</v>
      </c>
      <c r="G95" s="158">
        <f>F95-E95</f>
        <v>12.9</v>
      </c>
      <c r="H95" s="158">
        <f>(F95/E95)*100</f>
        <v>479.41176470588243</v>
      </c>
    </row>
    <row r="96" spans="1:8" ht="24.75" customHeight="1">
      <c r="A96" s="82"/>
      <c r="B96" s="94" t="s">
        <v>164</v>
      </c>
      <c r="C96" s="80"/>
      <c r="D96" s="24">
        <v>2.2999999999999998</v>
      </c>
      <c r="E96" s="24">
        <v>3.4</v>
      </c>
      <c r="F96" s="24">
        <v>6</v>
      </c>
      <c r="G96" s="111">
        <f>F96-E96</f>
        <v>2.6</v>
      </c>
      <c r="H96" s="111">
        <f>(F96/E96)*100</f>
        <v>176.47058823529412</v>
      </c>
    </row>
    <row r="97" spans="1:8" ht="24.75" customHeight="1">
      <c r="A97" s="82"/>
      <c r="B97" s="94" t="s">
        <v>180</v>
      </c>
      <c r="C97" s="80"/>
      <c r="D97" s="24">
        <v>1.9</v>
      </c>
      <c r="E97" s="24"/>
      <c r="F97" s="24"/>
      <c r="G97" s="111"/>
      <c r="H97" s="111"/>
    </row>
    <row r="98" spans="1:8" ht="24.75" customHeight="1">
      <c r="A98" s="82"/>
      <c r="B98" s="83" t="s">
        <v>170</v>
      </c>
      <c r="C98" s="80"/>
      <c r="D98" s="24"/>
      <c r="E98" s="24"/>
      <c r="F98" s="24">
        <v>1</v>
      </c>
      <c r="G98" s="111">
        <f>F98-E98</f>
        <v>1</v>
      </c>
      <c r="H98" s="111" t="e">
        <f>(F98/E98)*100</f>
        <v>#DIV/0!</v>
      </c>
    </row>
    <row r="99" spans="1:8" ht="24.75" customHeight="1">
      <c r="A99" s="82"/>
      <c r="B99" s="79" t="s">
        <v>182</v>
      </c>
      <c r="C99" s="80"/>
      <c r="D99" s="24">
        <v>9.1</v>
      </c>
      <c r="E99" s="24"/>
      <c r="F99" s="24">
        <f>8.7</f>
        <v>8.6999999999999993</v>
      </c>
      <c r="G99" s="111">
        <f>F99-E99</f>
        <v>8.6999999999999993</v>
      </c>
      <c r="H99" s="111" t="e">
        <f>(F99/E99)*100</f>
        <v>#DIV/0!</v>
      </c>
    </row>
    <row r="100" spans="1:8" ht="24.75" customHeight="1">
      <c r="A100" s="82"/>
      <c r="B100" s="79" t="s">
        <v>185</v>
      </c>
      <c r="C100" s="80"/>
      <c r="D100" s="24">
        <v>1</v>
      </c>
      <c r="E100" s="24"/>
      <c r="F100" s="24"/>
      <c r="G100" s="111"/>
      <c r="H100" s="111"/>
    </row>
    <row r="101" spans="1:8" ht="24.75" customHeight="1">
      <c r="A101" s="82"/>
      <c r="B101" s="79" t="s">
        <v>302</v>
      </c>
      <c r="C101" s="80"/>
      <c r="D101" s="24">
        <v>1.4</v>
      </c>
      <c r="E101" s="24"/>
      <c r="F101" s="24"/>
      <c r="G101" s="111"/>
      <c r="H101" s="111"/>
    </row>
    <row r="102" spans="1:8" ht="24.75" customHeight="1">
      <c r="A102" s="82"/>
      <c r="B102" s="79" t="s">
        <v>303</v>
      </c>
      <c r="C102" s="80"/>
      <c r="D102" s="24">
        <f>0.7+0.3</f>
        <v>1</v>
      </c>
      <c r="E102" s="24"/>
      <c r="F102" s="24"/>
      <c r="G102" s="111"/>
      <c r="H102" s="111"/>
    </row>
    <row r="103" spans="1:8" ht="24.75" customHeight="1">
      <c r="A103" s="82"/>
      <c r="B103" s="94" t="s">
        <v>233</v>
      </c>
      <c r="C103" s="80"/>
      <c r="D103" s="24"/>
      <c r="E103" s="24"/>
      <c r="F103" s="24">
        <v>0.6</v>
      </c>
      <c r="G103" s="111">
        <f>F103-E103</f>
        <v>0.6</v>
      </c>
      <c r="H103" s="111" t="e">
        <f>(F103/E103)*100</f>
        <v>#DIV/0!</v>
      </c>
    </row>
    <row r="104" spans="1:8" ht="24.75" customHeight="1">
      <c r="A104" s="75" t="s">
        <v>111</v>
      </c>
      <c r="B104" s="107" t="s">
        <v>93</v>
      </c>
      <c r="C104" s="77">
        <v>1030</v>
      </c>
      <c r="D104" s="22">
        <f>D105</f>
        <v>35.299999999999997</v>
      </c>
      <c r="E104" s="22">
        <f>E105</f>
        <v>28.6</v>
      </c>
      <c r="F104" s="22">
        <f>F105</f>
        <v>12.4</v>
      </c>
      <c r="G104" s="110"/>
      <c r="H104" s="110"/>
    </row>
    <row r="105" spans="1:8" ht="24.75" customHeight="1">
      <c r="A105" s="85" t="s">
        <v>326</v>
      </c>
      <c r="B105" s="117" t="s">
        <v>93</v>
      </c>
      <c r="C105" s="163">
        <v>1035</v>
      </c>
      <c r="D105" s="70">
        <f>SUM(D106:D107)</f>
        <v>35.299999999999997</v>
      </c>
      <c r="E105" s="70">
        <f>SUM(E106:E107)</f>
        <v>28.6</v>
      </c>
      <c r="F105" s="70">
        <f>SUM(F106:F107)</f>
        <v>12.4</v>
      </c>
      <c r="G105" s="158">
        <f>F105-E105</f>
        <v>-16.200000000000003</v>
      </c>
      <c r="H105" s="158">
        <f>(F105/E105)*100</f>
        <v>43.356643356643353</v>
      </c>
    </row>
    <row r="106" spans="1:8" ht="24.75" customHeight="1">
      <c r="A106" s="96"/>
      <c r="B106" s="79" t="s">
        <v>192</v>
      </c>
      <c r="C106" s="80"/>
      <c r="D106" s="24">
        <v>25.6</v>
      </c>
      <c r="E106" s="24">
        <v>24.6</v>
      </c>
      <c r="F106" s="24"/>
      <c r="G106" s="111">
        <f>F106-E106</f>
        <v>-24.6</v>
      </c>
      <c r="H106" s="111">
        <f>(F106/E106)*100</f>
        <v>0</v>
      </c>
    </row>
    <row r="107" spans="1:8" ht="24.75" customHeight="1">
      <c r="A107" s="96"/>
      <c r="B107" s="79" t="s">
        <v>184</v>
      </c>
      <c r="C107" s="80"/>
      <c r="D107" s="24">
        <v>9.6999999999999993</v>
      </c>
      <c r="E107" s="24">
        <v>4</v>
      </c>
      <c r="F107" s="24">
        <v>12.4</v>
      </c>
      <c r="G107" s="111">
        <f>F107-E107</f>
        <v>8.4</v>
      </c>
      <c r="H107" s="111">
        <f>(F107/E107)*100</f>
        <v>310</v>
      </c>
    </row>
    <row r="108" spans="1:8" ht="31.5" customHeight="1">
      <c r="A108" s="96" t="s">
        <v>278</v>
      </c>
      <c r="B108" s="95" t="s">
        <v>193</v>
      </c>
      <c r="C108" s="90"/>
      <c r="D108" s="22">
        <f>D110</f>
        <v>32</v>
      </c>
      <c r="E108" s="22">
        <f>E110</f>
        <v>150</v>
      </c>
      <c r="F108" s="22">
        <f>F110</f>
        <v>48.900000000000006</v>
      </c>
      <c r="G108" s="110"/>
      <c r="H108" s="110"/>
    </row>
    <row r="109" spans="1:8" ht="24.75" customHeight="1">
      <c r="A109" s="78"/>
      <c r="B109" s="97" t="s">
        <v>86</v>
      </c>
      <c r="C109" s="77"/>
      <c r="D109" s="24"/>
      <c r="E109" s="24"/>
      <c r="F109" s="24"/>
      <c r="G109" s="110"/>
      <c r="H109" s="110"/>
    </row>
    <row r="110" spans="1:8" ht="24.75" customHeight="1">
      <c r="A110" s="75" t="s">
        <v>327</v>
      </c>
      <c r="B110" s="100" t="s">
        <v>90</v>
      </c>
      <c r="C110" s="77">
        <v>1010</v>
      </c>
      <c r="D110" s="22">
        <f>D111+D115+D116+D117</f>
        <v>32</v>
      </c>
      <c r="E110" s="22">
        <f>E111+E115+E116+E117</f>
        <v>150</v>
      </c>
      <c r="F110" s="22">
        <f>F111+F115+F116+F117</f>
        <v>48.900000000000006</v>
      </c>
      <c r="G110" s="110">
        <f t="shared" ref="G110:G123" si="25">F110-E110</f>
        <v>-101.1</v>
      </c>
      <c r="H110" s="110">
        <f t="shared" ref="H110:H123" si="26">(F110/E110)*100</f>
        <v>32.6</v>
      </c>
    </row>
    <row r="111" spans="1:8" ht="30" customHeight="1">
      <c r="A111" s="99" t="s">
        <v>328</v>
      </c>
      <c r="B111" s="161" t="s">
        <v>112</v>
      </c>
      <c r="C111" s="162">
        <v>1011</v>
      </c>
      <c r="D111" s="70">
        <f>SUM(D112:D114)</f>
        <v>31.7</v>
      </c>
      <c r="E111" s="70">
        <f>SUM(E112:E114)</f>
        <v>46.5</v>
      </c>
      <c r="F111" s="70">
        <f>SUM(F112:F114)</f>
        <v>6.8000000000000007</v>
      </c>
      <c r="G111" s="158">
        <f t="shared" si="25"/>
        <v>-39.700000000000003</v>
      </c>
      <c r="H111" s="158">
        <f t="shared" si="26"/>
        <v>14.623655913978496</v>
      </c>
    </row>
    <row r="112" spans="1:8" ht="24.75" customHeight="1">
      <c r="A112" s="99"/>
      <c r="B112" s="79" t="s">
        <v>150</v>
      </c>
      <c r="C112" s="80"/>
      <c r="D112" s="24">
        <v>31</v>
      </c>
      <c r="E112" s="24">
        <v>40</v>
      </c>
      <c r="F112" s="24">
        <v>1.9</v>
      </c>
      <c r="G112" s="111">
        <f t="shared" si="25"/>
        <v>-38.1</v>
      </c>
      <c r="H112" s="111">
        <f t="shared" si="26"/>
        <v>4.75</v>
      </c>
    </row>
    <row r="113" spans="1:8" ht="24.75" customHeight="1">
      <c r="A113" s="99"/>
      <c r="B113" s="79" t="s">
        <v>195</v>
      </c>
      <c r="C113" s="80"/>
      <c r="D113" s="24"/>
      <c r="E113" s="24">
        <v>3.9</v>
      </c>
      <c r="F113" s="24">
        <v>4.5</v>
      </c>
      <c r="G113" s="111">
        <f t="shared" si="25"/>
        <v>0.60000000000000009</v>
      </c>
      <c r="H113" s="111">
        <f t="shared" si="26"/>
        <v>115.3846153846154</v>
      </c>
    </row>
    <row r="114" spans="1:8" ht="37.5" customHeight="1">
      <c r="A114" s="99"/>
      <c r="B114" s="79" t="s">
        <v>175</v>
      </c>
      <c r="C114" s="80"/>
      <c r="D114" s="24">
        <v>0.7</v>
      </c>
      <c r="E114" s="24">
        <v>2.6</v>
      </c>
      <c r="F114" s="24">
        <v>0.4</v>
      </c>
      <c r="G114" s="111">
        <f t="shared" si="25"/>
        <v>-2.2000000000000002</v>
      </c>
      <c r="H114" s="111">
        <f t="shared" si="26"/>
        <v>15.384615384615385</v>
      </c>
    </row>
    <row r="115" spans="1:8" ht="24.75" customHeight="1">
      <c r="A115" s="85" t="s">
        <v>329</v>
      </c>
      <c r="B115" s="161" t="s">
        <v>2</v>
      </c>
      <c r="C115" s="162">
        <v>1012</v>
      </c>
      <c r="D115" s="70"/>
      <c r="E115" s="70">
        <v>80</v>
      </c>
      <c r="F115" s="70">
        <v>25.5</v>
      </c>
      <c r="G115" s="158">
        <f t="shared" si="25"/>
        <v>-54.5</v>
      </c>
      <c r="H115" s="158">
        <f t="shared" si="26"/>
        <v>31.874999999999996</v>
      </c>
    </row>
    <row r="116" spans="1:8" ht="24.75" customHeight="1">
      <c r="A116" s="85" t="s">
        <v>330</v>
      </c>
      <c r="B116" s="161" t="s">
        <v>3</v>
      </c>
      <c r="C116" s="162">
        <v>1013</v>
      </c>
      <c r="D116" s="70"/>
      <c r="E116" s="70">
        <v>17.2</v>
      </c>
      <c r="F116" s="70">
        <v>5.2</v>
      </c>
      <c r="G116" s="158">
        <f t="shared" si="25"/>
        <v>-12</v>
      </c>
      <c r="H116" s="158">
        <f t="shared" si="26"/>
        <v>30.232558139534888</v>
      </c>
    </row>
    <row r="117" spans="1:8" ht="24.75" customHeight="1">
      <c r="A117" s="99" t="s">
        <v>331</v>
      </c>
      <c r="B117" s="157" t="s">
        <v>196</v>
      </c>
      <c r="C117" s="118">
        <v>1015</v>
      </c>
      <c r="D117" s="70">
        <f>SUM(D118:D123)</f>
        <v>0.3</v>
      </c>
      <c r="E117" s="70">
        <f>SUM(E118:E123)</f>
        <v>6.3</v>
      </c>
      <c r="F117" s="70">
        <f>SUM(F118:F123)</f>
        <v>11.400000000000002</v>
      </c>
      <c r="G117" s="158">
        <f t="shared" si="25"/>
        <v>5.1000000000000023</v>
      </c>
      <c r="H117" s="158">
        <f t="shared" si="26"/>
        <v>180.95238095238099</v>
      </c>
    </row>
    <row r="118" spans="1:8" ht="24.75" customHeight="1">
      <c r="A118" s="99"/>
      <c r="B118" s="102" t="s">
        <v>197</v>
      </c>
      <c r="C118" s="91"/>
      <c r="D118" s="24"/>
      <c r="E118" s="24">
        <v>3</v>
      </c>
      <c r="F118" s="24"/>
      <c r="G118" s="111">
        <f t="shared" si="25"/>
        <v>-3</v>
      </c>
      <c r="H118" s="111">
        <f t="shared" si="26"/>
        <v>0</v>
      </c>
    </row>
    <row r="119" spans="1:8" ht="24.75" customHeight="1">
      <c r="A119" s="101"/>
      <c r="B119" s="79" t="s">
        <v>164</v>
      </c>
      <c r="C119" s="91"/>
      <c r="D119" s="24">
        <v>0.3</v>
      </c>
      <c r="E119" s="24">
        <v>1.6</v>
      </c>
      <c r="F119" s="24">
        <v>0.2</v>
      </c>
      <c r="G119" s="111">
        <f t="shared" si="25"/>
        <v>-1.4000000000000001</v>
      </c>
      <c r="H119" s="111">
        <f t="shared" si="26"/>
        <v>12.5</v>
      </c>
    </row>
    <row r="120" spans="1:8" ht="24.75" customHeight="1">
      <c r="A120" s="101"/>
      <c r="B120" s="79" t="s">
        <v>198</v>
      </c>
      <c r="C120" s="91"/>
      <c r="D120" s="24"/>
      <c r="E120" s="24">
        <v>1.7</v>
      </c>
      <c r="F120" s="24"/>
      <c r="G120" s="111">
        <f t="shared" si="25"/>
        <v>-1.7</v>
      </c>
      <c r="H120" s="111">
        <f t="shared" si="26"/>
        <v>0</v>
      </c>
    </row>
    <row r="121" spans="1:8" ht="24.75" customHeight="1">
      <c r="A121" s="101"/>
      <c r="B121" s="79" t="s">
        <v>186</v>
      </c>
      <c r="C121" s="91"/>
      <c r="D121" s="24"/>
      <c r="E121" s="24"/>
      <c r="F121" s="24">
        <f>11.3-7.5</f>
        <v>3.8000000000000007</v>
      </c>
      <c r="G121" s="111">
        <f t="shared" si="25"/>
        <v>3.8000000000000007</v>
      </c>
      <c r="H121" s="160" t="e">
        <f t="shared" si="26"/>
        <v>#DIV/0!</v>
      </c>
    </row>
    <row r="122" spans="1:8" ht="24.75" customHeight="1">
      <c r="A122" s="101"/>
      <c r="B122" s="79" t="s">
        <v>187</v>
      </c>
      <c r="C122" s="91"/>
      <c r="D122" s="24"/>
      <c r="E122" s="24"/>
      <c r="F122" s="24">
        <v>1.2</v>
      </c>
      <c r="G122" s="111">
        <f t="shared" si="25"/>
        <v>1.2</v>
      </c>
      <c r="H122" s="160" t="e">
        <f t="shared" si="26"/>
        <v>#DIV/0!</v>
      </c>
    </row>
    <row r="123" spans="1:8" ht="24.75" customHeight="1">
      <c r="A123" s="101"/>
      <c r="B123" s="79" t="s">
        <v>188</v>
      </c>
      <c r="C123" s="91"/>
      <c r="D123" s="24"/>
      <c r="E123" s="24"/>
      <c r="F123" s="24">
        <v>6.2</v>
      </c>
      <c r="G123" s="111">
        <f t="shared" si="25"/>
        <v>6.2</v>
      </c>
      <c r="H123" s="160" t="e">
        <f t="shared" si="26"/>
        <v>#DIV/0!</v>
      </c>
    </row>
    <row r="124" spans="1:8" ht="46.5" customHeight="1">
      <c r="A124" s="96" t="s">
        <v>332</v>
      </c>
      <c r="B124" s="76" t="s">
        <v>373</v>
      </c>
      <c r="C124" s="90"/>
      <c r="D124" s="24"/>
      <c r="E124" s="22">
        <f>E126+E134+E137</f>
        <v>106</v>
      </c>
      <c r="F124" s="22">
        <f>F126+F134+F137</f>
        <v>27.9</v>
      </c>
      <c r="G124" s="110">
        <f t="shared" ref="G124" si="27">F124-E124</f>
        <v>-78.099999999999994</v>
      </c>
      <c r="H124" s="110">
        <f t="shared" ref="H124" si="28">(F124/E124)*100</f>
        <v>26.320754716981131</v>
      </c>
    </row>
    <row r="125" spans="1:8" ht="24.75" customHeight="1">
      <c r="A125" s="98"/>
      <c r="B125" s="97" t="s">
        <v>86</v>
      </c>
      <c r="C125" s="77"/>
      <c r="D125" s="24"/>
      <c r="E125" s="24"/>
      <c r="F125" s="24"/>
      <c r="G125" s="110"/>
      <c r="H125" s="110"/>
    </row>
    <row r="126" spans="1:8" ht="24.75" customHeight="1">
      <c r="A126" s="96" t="s">
        <v>333</v>
      </c>
      <c r="B126" s="100" t="s">
        <v>90</v>
      </c>
      <c r="C126" s="77">
        <v>1010</v>
      </c>
      <c r="D126" s="22"/>
      <c r="E126" s="22">
        <f>E127+E130</f>
        <v>79</v>
      </c>
      <c r="F126" s="22">
        <f>F127+F130</f>
        <v>27.9</v>
      </c>
      <c r="G126" s="110">
        <f t="shared" ref="G126:G139" si="29">F126-E126</f>
        <v>-51.1</v>
      </c>
      <c r="H126" s="110">
        <f t="shared" ref="H126:H139" si="30">(F126/E126)*100</f>
        <v>35.316455696202532</v>
      </c>
    </row>
    <row r="127" spans="1:8" ht="24.75" customHeight="1">
      <c r="A127" s="85" t="s">
        <v>334</v>
      </c>
      <c r="B127" s="161" t="s">
        <v>112</v>
      </c>
      <c r="C127" s="162">
        <v>1011</v>
      </c>
      <c r="D127" s="70"/>
      <c r="E127" s="70">
        <f>SUM(E128:E129)</f>
        <v>49</v>
      </c>
      <c r="F127" s="70">
        <f>SUM(F128:F129)</f>
        <v>15.2</v>
      </c>
      <c r="G127" s="158">
        <f t="shared" si="29"/>
        <v>-33.799999999999997</v>
      </c>
      <c r="H127" s="158">
        <f t="shared" si="30"/>
        <v>31.020408163265305</v>
      </c>
    </row>
    <row r="128" spans="1:8" ht="24.75" customHeight="1">
      <c r="A128" s="85"/>
      <c r="B128" s="79" t="s">
        <v>176</v>
      </c>
      <c r="C128" s="80"/>
      <c r="D128" s="24"/>
      <c r="E128" s="24">
        <v>5</v>
      </c>
      <c r="F128" s="24">
        <v>2.1</v>
      </c>
      <c r="G128" s="111">
        <f t="shared" si="29"/>
        <v>-2.9</v>
      </c>
      <c r="H128" s="111">
        <f t="shared" si="30"/>
        <v>42.000000000000007</v>
      </c>
    </row>
    <row r="129" spans="1:8" ht="36" customHeight="1">
      <c r="A129" s="85"/>
      <c r="B129" s="79" t="s">
        <v>175</v>
      </c>
      <c r="C129" s="80"/>
      <c r="D129" s="24"/>
      <c r="E129" s="24">
        <v>44</v>
      </c>
      <c r="F129" s="24">
        <v>13.1</v>
      </c>
      <c r="G129" s="111">
        <f t="shared" si="29"/>
        <v>-30.9</v>
      </c>
      <c r="H129" s="111">
        <f t="shared" si="30"/>
        <v>29.772727272727273</v>
      </c>
    </row>
    <row r="130" spans="1:8" ht="24.75" customHeight="1">
      <c r="A130" s="85" t="s">
        <v>335</v>
      </c>
      <c r="B130" s="117" t="s">
        <v>201</v>
      </c>
      <c r="C130" s="163">
        <v>1015</v>
      </c>
      <c r="D130" s="70"/>
      <c r="E130" s="70">
        <f>SUM(E131:E131)</f>
        <v>30</v>
      </c>
      <c r="F130" s="70">
        <f>SUM(F131:F133)</f>
        <v>12.7</v>
      </c>
      <c r="G130" s="158">
        <f t="shared" si="29"/>
        <v>-17.3</v>
      </c>
      <c r="H130" s="158">
        <f t="shared" si="30"/>
        <v>42.333333333333329</v>
      </c>
    </row>
    <row r="131" spans="1:8" ht="24.75" customHeight="1">
      <c r="A131" s="75"/>
      <c r="B131" s="79" t="s">
        <v>181</v>
      </c>
      <c r="C131" s="80"/>
      <c r="D131" s="24"/>
      <c r="E131" s="24">
        <v>30</v>
      </c>
      <c r="F131" s="24"/>
      <c r="G131" s="111">
        <f t="shared" si="29"/>
        <v>-30</v>
      </c>
      <c r="H131" s="111">
        <f t="shared" si="30"/>
        <v>0</v>
      </c>
    </row>
    <row r="132" spans="1:8" ht="24.75" customHeight="1">
      <c r="A132" s="75"/>
      <c r="B132" s="79" t="s">
        <v>186</v>
      </c>
      <c r="C132" s="80"/>
      <c r="D132" s="24"/>
      <c r="E132" s="24"/>
      <c r="F132" s="24">
        <v>7.5</v>
      </c>
      <c r="G132" s="111">
        <f t="shared" si="29"/>
        <v>7.5</v>
      </c>
      <c r="H132" s="160" t="e">
        <f t="shared" si="30"/>
        <v>#DIV/0!</v>
      </c>
    </row>
    <row r="133" spans="1:8" ht="24.75" customHeight="1">
      <c r="A133" s="75"/>
      <c r="B133" s="79" t="s">
        <v>188</v>
      </c>
      <c r="C133" s="80"/>
      <c r="D133" s="24"/>
      <c r="E133" s="24"/>
      <c r="F133" s="24">
        <v>5.2</v>
      </c>
      <c r="G133" s="111">
        <f t="shared" si="29"/>
        <v>5.2</v>
      </c>
      <c r="H133" s="160" t="e">
        <f t="shared" si="30"/>
        <v>#DIV/0!</v>
      </c>
    </row>
    <row r="134" spans="1:8" ht="24.75" customHeight="1">
      <c r="A134" s="96" t="s">
        <v>336</v>
      </c>
      <c r="B134" s="95" t="s">
        <v>92</v>
      </c>
      <c r="C134" s="77">
        <v>1020</v>
      </c>
      <c r="D134" s="22"/>
      <c r="E134" s="22">
        <f>E135</f>
        <v>7</v>
      </c>
      <c r="F134" s="22"/>
      <c r="G134" s="110">
        <f t="shared" si="29"/>
        <v>-7</v>
      </c>
      <c r="H134" s="110">
        <f t="shared" si="30"/>
        <v>0</v>
      </c>
    </row>
    <row r="135" spans="1:8" ht="24.75" customHeight="1">
      <c r="A135" s="85" t="s">
        <v>337</v>
      </c>
      <c r="B135" s="167" t="s">
        <v>191</v>
      </c>
      <c r="C135" s="162">
        <v>1025</v>
      </c>
      <c r="D135" s="70"/>
      <c r="E135" s="70">
        <f>SUM(E136:E136)</f>
        <v>7</v>
      </c>
      <c r="F135" s="70"/>
      <c r="G135" s="158">
        <f t="shared" si="29"/>
        <v>-7</v>
      </c>
      <c r="H135" s="158">
        <f t="shared" si="30"/>
        <v>0</v>
      </c>
    </row>
    <row r="136" spans="1:8" ht="24.75" customHeight="1">
      <c r="A136" s="82"/>
      <c r="B136" s="79" t="s">
        <v>180</v>
      </c>
      <c r="C136" s="80"/>
      <c r="D136" s="24"/>
      <c r="E136" s="24">
        <v>7</v>
      </c>
      <c r="F136" s="24"/>
      <c r="G136" s="111">
        <f t="shared" si="29"/>
        <v>-7</v>
      </c>
      <c r="H136" s="111">
        <f t="shared" si="30"/>
        <v>0</v>
      </c>
    </row>
    <row r="137" spans="1:8" ht="24.75" customHeight="1">
      <c r="A137" s="96" t="s">
        <v>338</v>
      </c>
      <c r="B137" s="95" t="s">
        <v>93</v>
      </c>
      <c r="C137" s="81">
        <v>1030</v>
      </c>
      <c r="D137" s="22"/>
      <c r="E137" s="22">
        <f>E138</f>
        <v>20</v>
      </c>
      <c r="F137" s="22"/>
      <c r="G137" s="110">
        <f t="shared" si="29"/>
        <v>-20</v>
      </c>
      <c r="H137" s="110">
        <f t="shared" si="30"/>
        <v>0</v>
      </c>
    </row>
    <row r="138" spans="1:8" ht="24.75" customHeight="1">
      <c r="A138" s="85" t="s">
        <v>339</v>
      </c>
      <c r="B138" s="117" t="s">
        <v>203</v>
      </c>
      <c r="C138" s="168">
        <v>1035</v>
      </c>
      <c r="D138" s="70"/>
      <c r="E138" s="70">
        <f>E139</f>
        <v>20</v>
      </c>
      <c r="F138" s="70"/>
      <c r="G138" s="158">
        <f t="shared" si="29"/>
        <v>-20</v>
      </c>
      <c r="H138" s="158">
        <f t="shared" si="30"/>
        <v>0</v>
      </c>
    </row>
    <row r="139" spans="1:8" ht="24.75" customHeight="1">
      <c r="A139" s="75"/>
      <c r="B139" s="103" t="s">
        <v>204</v>
      </c>
      <c r="C139" s="104"/>
      <c r="D139" s="24"/>
      <c r="E139" s="24">
        <v>20</v>
      </c>
      <c r="F139" s="24"/>
      <c r="G139" s="111">
        <f t="shared" si="29"/>
        <v>-20</v>
      </c>
      <c r="H139" s="111">
        <f t="shared" si="30"/>
        <v>0</v>
      </c>
    </row>
    <row r="140" spans="1:8" ht="37.5" customHeight="1">
      <c r="A140" s="75" t="s">
        <v>205</v>
      </c>
      <c r="B140" s="76" t="s">
        <v>320</v>
      </c>
      <c r="C140" s="162"/>
      <c r="D140" s="22"/>
      <c r="E140" s="22">
        <f>E142</f>
        <v>49.5</v>
      </c>
      <c r="F140" s="22"/>
      <c r="G140" s="110">
        <f t="shared" ref="G140:G185" si="31">F140-E140</f>
        <v>-49.5</v>
      </c>
      <c r="H140" s="110">
        <f t="shared" ref="H140:H185" si="32">(F140/E140)*100</f>
        <v>0</v>
      </c>
    </row>
    <row r="141" spans="1:8" ht="24.75" customHeight="1">
      <c r="A141" s="75"/>
      <c r="B141" s="97" t="s">
        <v>86</v>
      </c>
      <c r="C141" s="81"/>
      <c r="D141" s="24"/>
      <c r="E141" s="24"/>
      <c r="F141" s="24"/>
      <c r="G141" s="110">
        <f t="shared" si="31"/>
        <v>0</v>
      </c>
      <c r="H141" s="166" t="e">
        <f t="shared" si="32"/>
        <v>#DIV/0!</v>
      </c>
    </row>
    <row r="142" spans="1:8" ht="24.75" customHeight="1">
      <c r="A142" s="75" t="s">
        <v>206</v>
      </c>
      <c r="B142" s="107" t="s">
        <v>90</v>
      </c>
      <c r="C142" s="81">
        <v>1010</v>
      </c>
      <c r="D142" s="22"/>
      <c r="E142" s="105">
        <f>E143+E144</f>
        <v>49.5</v>
      </c>
      <c r="F142" s="22"/>
      <c r="G142" s="110">
        <f t="shared" si="31"/>
        <v>-49.5</v>
      </c>
      <c r="H142" s="110">
        <f t="shared" si="32"/>
        <v>0</v>
      </c>
    </row>
    <row r="143" spans="1:8" ht="24.75" customHeight="1">
      <c r="A143" s="85" t="s">
        <v>207</v>
      </c>
      <c r="B143" s="199" t="s">
        <v>2</v>
      </c>
      <c r="C143" s="163">
        <v>1012</v>
      </c>
      <c r="D143" s="41"/>
      <c r="E143" s="169">
        <v>40.6</v>
      </c>
      <c r="F143" s="41"/>
      <c r="G143" s="158">
        <f t="shared" si="31"/>
        <v>-40.6</v>
      </c>
      <c r="H143" s="158">
        <f t="shared" si="32"/>
        <v>0</v>
      </c>
    </row>
    <row r="144" spans="1:8" ht="27" customHeight="1">
      <c r="A144" s="85" t="s">
        <v>208</v>
      </c>
      <c r="B144" s="199" t="s">
        <v>3</v>
      </c>
      <c r="C144" s="163">
        <v>1013</v>
      </c>
      <c r="D144" s="41"/>
      <c r="E144" s="169">
        <v>8.9</v>
      </c>
      <c r="F144" s="41"/>
      <c r="G144" s="158">
        <f t="shared" si="31"/>
        <v>-8.9</v>
      </c>
      <c r="H144" s="158">
        <f t="shared" si="32"/>
        <v>0</v>
      </c>
    </row>
    <row r="145" spans="1:9" ht="32.25" customHeight="1">
      <c r="A145" s="75" t="s">
        <v>209</v>
      </c>
      <c r="B145" s="76" t="s">
        <v>281</v>
      </c>
      <c r="C145" s="77"/>
      <c r="D145" s="22">
        <f>D147+D162</f>
        <v>5151.8710000000001</v>
      </c>
      <c r="E145" s="22">
        <f>E147+E162</f>
        <v>3601.2000000000003</v>
      </c>
      <c r="F145" s="22">
        <f>F147+F162</f>
        <v>3535</v>
      </c>
      <c r="G145" s="110">
        <f t="shared" si="31"/>
        <v>-66.200000000000273</v>
      </c>
      <c r="H145" s="110">
        <f t="shared" si="32"/>
        <v>98.161723869821159</v>
      </c>
    </row>
    <row r="146" spans="1:9" ht="24.75" customHeight="1">
      <c r="A146" s="75"/>
      <c r="B146" s="198" t="s">
        <v>86</v>
      </c>
      <c r="C146" s="80"/>
      <c r="D146" s="24"/>
      <c r="E146" s="24"/>
      <c r="F146" s="24"/>
      <c r="G146" s="110">
        <f t="shared" si="31"/>
        <v>0</v>
      </c>
      <c r="H146" s="166" t="e">
        <f t="shared" si="32"/>
        <v>#DIV/0!</v>
      </c>
    </row>
    <row r="147" spans="1:9" ht="24.75" customHeight="1">
      <c r="A147" s="75" t="s">
        <v>210</v>
      </c>
      <c r="B147" s="76" t="s">
        <v>90</v>
      </c>
      <c r="C147" s="77">
        <v>1010</v>
      </c>
      <c r="D147" s="22">
        <f>D148+D155+D156+D157</f>
        <v>5119.0709999999999</v>
      </c>
      <c r="E147" s="22">
        <f>E148+E155+E156+E157</f>
        <v>3543.9</v>
      </c>
      <c r="F147" s="22">
        <f>F148+F155+F156+F157</f>
        <v>3508.2</v>
      </c>
      <c r="G147" s="110">
        <f t="shared" si="31"/>
        <v>-35.700000000000273</v>
      </c>
      <c r="H147" s="110">
        <f t="shared" si="32"/>
        <v>98.9926352323711</v>
      </c>
    </row>
    <row r="148" spans="1:9" ht="24.75" customHeight="1">
      <c r="A148" s="85" t="s">
        <v>211</v>
      </c>
      <c r="B148" s="167" t="s">
        <v>112</v>
      </c>
      <c r="C148" s="162">
        <v>1011</v>
      </c>
      <c r="D148" s="70">
        <f>SUM(D149:D154)</f>
        <v>2261.8000000000002</v>
      </c>
      <c r="E148" s="70">
        <f>SUM(E149:E154)</f>
        <v>1000</v>
      </c>
      <c r="F148" s="70">
        <f>SUM(F149:F154)</f>
        <v>664.00000000000011</v>
      </c>
      <c r="G148" s="158">
        <f t="shared" si="31"/>
        <v>-335.99999999999989</v>
      </c>
      <c r="H148" s="158">
        <f t="shared" si="32"/>
        <v>66.40000000000002</v>
      </c>
    </row>
    <row r="149" spans="1:9" ht="36" customHeight="1">
      <c r="A149" s="82"/>
      <c r="B149" s="79" t="s">
        <v>212</v>
      </c>
      <c r="C149" s="80"/>
      <c r="D149" s="24">
        <v>157.5</v>
      </c>
      <c r="E149" s="24"/>
      <c r="F149" s="24">
        <v>0.5</v>
      </c>
      <c r="G149" s="111">
        <f t="shared" si="31"/>
        <v>0.5</v>
      </c>
      <c r="H149" s="160" t="e">
        <f t="shared" si="32"/>
        <v>#DIV/0!</v>
      </c>
    </row>
    <row r="150" spans="1:9" ht="24.75" customHeight="1">
      <c r="A150" s="82"/>
      <c r="B150" s="79" t="s">
        <v>213</v>
      </c>
      <c r="C150" s="80"/>
      <c r="D150" s="24">
        <v>1238.2</v>
      </c>
      <c r="E150" s="24">
        <v>1000</v>
      </c>
      <c r="F150" s="24">
        <f>819.5-635.3</f>
        <v>184.20000000000005</v>
      </c>
      <c r="G150" s="111">
        <f t="shared" si="31"/>
        <v>-815.8</v>
      </c>
      <c r="H150" s="111">
        <f t="shared" si="32"/>
        <v>18.420000000000005</v>
      </c>
      <c r="I150" s="129"/>
    </row>
    <row r="151" spans="1:9" ht="24.75" customHeight="1">
      <c r="A151" s="82"/>
      <c r="B151" s="79" t="s">
        <v>214</v>
      </c>
      <c r="C151" s="80"/>
      <c r="D151" s="24">
        <v>785.1</v>
      </c>
      <c r="E151" s="24"/>
      <c r="F151" s="24">
        <v>269.10000000000002</v>
      </c>
      <c r="G151" s="111">
        <f t="shared" si="31"/>
        <v>269.10000000000002</v>
      </c>
      <c r="H151" s="160" t="e">
        <f t="shared" si="32"/>
        <v>#DIV/0!</v>
      </c>
    </row>
    <row r="152" spans="1:9" ht="24.75" customHeight="1">
      <c r="A152" s="82"/>
      <c r="B152" s="79" t="s">
        <v>215</v>
      </c>
      <c r="C152" s="80"/>
      <c r="D152" s="24">
        <v>22.7</v>
      </c>
      <c r="E152" s="24"/>
      <c r="F152" s="24">
        <v>110.7</v>
      </c>
      <c r="G152" s="111">
        <f t="shared" si="31"/>
        <v>110.7</v>
      </c>
      <c r="H152" s="160" t="e">
        <f t="shared" si="32"/>
        <v>#DIV/0!</v>
      </c>
    </row>
    <row r="153" spans="1:9" ht="24.75" customHeight="1">
      <c r="A153" s="82"/>
      <c r="B153" s="79" t="s">
        <v>216</v>
      </c>
      <c r="C153" s="80"/>
      <c r="D153" s="24">
        <v>13.5</v>
      </c>
      <c r="E153" s="24"/>
      <c r="F153" s="24">
        <v>98.5</v>
      </c>
      <c r="G153" s="111">
        <f t="shared" si="31"/>
        <v>98.5</v>
      </c>
      <c r="H153" s="160" t="e">
        <f t="shared" si="32"/>
        <v>#DIV/0!</v>
      </c>
    </row>
    <row r="154" spans="1:9" ht="24.75" customHeight="1">
      <c r="A154" s="82"/>
      <c r="B154" s="79" t="s">
        <v>217</v>
      </c>
      <c r="C154" s="80"/>
      <c r="D154" s="24">
        <v>44.8</v>
      </c>
      <c r="E154" s="24"/>
      <c r="F154" s="24">
        <v>1</v>
      </c>
      <c r="G154" s="111">
        <f t="shared" si="31"/>
        <v>1</v>
      </c>
      <c r="H154" s="160" t="e">
        <f t="shared" si="32"/>
        <v>#DIV/0!</v>
      </c>
    </row>
    <row r="155" spans="1:9" ht="24.75" customHeight="1">
      <c r="A155" s="85" t="s">
        <v>218</v>
      </c>
      <c r="B155" s="161" t="s">
        <v>2</v>
      </c>
      <c r="C155" s="163">
        <v>1012</v>
      </c>
      <c r="D155" s="70">
        <f>1156</f>
        <v>1156</v>
      </c>
      <c r="E155" s="70"/>
      <c r="F155" s="70"/>
      <c r="G155" s="158">
        <f t="shared" si="31"/>
        <v>0</v>
      </c>
      <c r="H155" s="164" t="e">
        <f t="shared" si="32"/>
        <v>#DIV/0!</v>
      </c>
    </row>
    <row r="156" spans="1:9" ht="24.75" customHeight="1">
      <c r="A156" s="85" t="s">
        <v>219</v>
      </c>
      <c r="B156" s="161" t="s">
        <v>3</v>
      </c>
      <c r="C156" s="163">
        <v>1013</v>
      </c>
      <c r="D156" s="70">
        <v>238.9</v>
      </c>
      <c r="E156" s="70"/>
      <c r="F156" s="70"/>
      <c r="G156" s="158">
        <f t="shared" si="31"/>
        <v>0</v>
      </c>
      <c r="H156" s="164" t="e">
        <f t="shared" si="32"/>
        <v>#DIV/0!</v>
      </c>
    </row>
    <row r="157" spans="1:9" ht="24.75" customHeight="1">
      <c r="A157" s="85" t="s">
        <v>220</v>
      </c>
      <c r="B157" s="165" t="s">
        <v>99</v>
      </c>
      <c r="C157" s="118">
        <v>1015</v>
      </c>
      <c r="D157" s="70">
        <f>SUM(D158:D161)</f>
        <v>1462.3709999999999</v>
      </c>
      <c r="E157" s="70">
        <f>SUM(E158:E161)</f>
        <v>2543.9</v>
      </c>
      <c r="F157" s="70">
        <f>SUM(F158:F161)</f>
        <v>2844.2</v>
      </c>
      <c r="G157" s="158">
        <f t="shared" si="31"/>
        <v>300.29999999999973</v>
      </c>
      <c r="H157" s="158">
        <f t="shared" si="32"/>
        <v>111.80470930461101</v>
      </c>
    </row>
    <row r="158" spans="1:9" ht="24.75" customHeight="1">
      <c r="A158" s="75"/>
      <c r="B158" s="83" t="s">
        <v>186</v>
      </c>
      <c r="C158" s="83"/>
      <c r="D158" s="24">
        <v>1076.4000000000001</v>
      </c>
      <c r="E158" s="24">
        <v>1946.2</v>
      </c>
      <c r="F158" s="24">
        <v>1988.2</v>
      </c>
      <c r="G158" s="111">
        <f t="shared" si="31"/>
        <v>42</v>
      </c>
      <c r="H158" s="111">
        <f t="shared" si="32"/>
        <v>102.15805158770938</v>
      </c>
    </row>
    <row r="159" spans="1:9" ht="24.75" customHeight="1">
      <c r="A159" s="75"/>
      <c r="B159" s="83" t="s">
        <v>187</v>
      </c>
      <c r="C159" s="83"/>
      <c r="D159" s="24">
        <v>100.1</v>
      </c>
      <c r="E159" s="24">
        <v>96.7</v>
      </c>
      <c r="F159" s="24">
        <v>65.400000000000006</v>
      </c>
      <c r="G159" s="111">
        <f t="shared" si="31"/>
        <v>-31.299999999999997</v>
      </c>
      <c r="H159" s="111">
        <f t="shared" si="32"/>
        <v>67.631851085832466</v>
      </c>
    </row>
    <row r="160" spans="1:9" ht="24.75" customHeight="1">
      <c r="A160" s="75"/>
      <c r="B160" s="83" t="s">
        <v>221</v>
      </c>
      <c r="C160" s="83"/>
      <c r="D160" s="24">
        <v>270.81</v>
      </c>
      <c r="E160" s="24">
        <v>479.1</v>
      </c>
      <c r="F160" s="24">
        <v>766.9</v>
      </c>
      <c r="G160" s="111">
        <f t="shared" si="31"/>
        <v>287.79999999999995</v>
      </c>
      <c r="H160" s="111">
        <f t="shared" si="32"/>
        <v>160.07096639532458</v>
      </c>
    </row>
    <row r="161" spans="1:9" ht="24.75" customHeight="1">
      <c r="A161" s="75"/>
      <c r="B161" s="83" t="s">
        <v>189</v>
      </c>
      <c r="C161" s="83"/>
      <c r="D161" s="24">
        <v>15.061</v>
      </c>
      <c r="E161" s="24">
        <v>21.9</v>
      </c>
      <c r="F161" s="24">
        <v>23.7</v>
      </c>
      <c r="G161" s="111">
        <f t="shared" si="31"/>
        <v>1.8000000000000007</v>
      </c>
      <c r="H161" s="111">
        <f t="shared" si="32"/>
        <v>108.21917808219179</v>
      </c>
    </row>
    <row r="162" spans="1:9" ht="24.75" customHeight="1">
      <c r="A162" s="75" t="s">
        <v>222</v>
      </c>
      <c r="B162" s="93" t="s">
        <v>92</v>
      </c>
      <c r="C162" s="77">
        <v>1020</v>
      </c>
      <c r="D162" s="22">
        <f>D163</f>
        <v>32.799999999999997</v>
      </c>
      <c r="E162" s="22">
        <f>E163</f>
        <v>57.3</v>
      </c>
      <c r="F162" s="22">
        <f>F163</f>
        <v>26.8</v>
      </c>
      <c r="G162" s="110">
        <f t="shared" si="31"/>
        <v>-30.499999999999996</v>
      </c>
      <c r="H162" s="110">
        <f t="shared" si="32"/>
        <v>46.771378708551488</v>
      </c>
    </row>
    <row r="163" spans="1:9" ht="24.75" customHeight="1">
      <c r="A163" s="85" t="s">
        <v>223</v>
      </c>
      <c r="B163" s="167" t="s">
        <v>191</v>
      </c>
      <c r="C163" s="162">
        <v>1025</v>
      </c>
      <c r="D163" s="70">
        <f>SUM(D164:D167)</f>
        <v>32.799999999999997</v>
      </c>
      <c r="E163" s="70">
        <f>SUM(E164:E167)</f>
        <v>57.3</v>
      </c>
      <c r="F163" s="70">
        <f>SUM(F164:F167)</f>
        <v>26.8</v>
      </c>
      <c r="G163" s="158">
        <f t="shared" si="31"/>
        <v>-30.499999999999996</v>
      </c>
      <c r="H163" s="158">
        <f t="shared" si="32"/>
        <v>46.771378708551488</v>
      </c>
    </row>
    <row r="164" spans="1:9" ht="24.75" customHeight="1">
      <c r="A164" s="98"/>
      <c r="B164" s="92" t="s">
        <v>186</v>
      </c>
      <c r="C164" s="80"/>
      <c r="D164" s="24">
        <v>24.2</v>
      </c>
      <c r="E164" s="24">
        <v>43.8</v>
      </c>
      <c r="F164" s="24">
        <v>15.9</v>
      </c>
      <c r="G164" s="111">
        <f t="shared" si="31"/>
        <v>-27.9</v>
      </c>
      <c r="H164" s="111">
        <f t="shared" si="32"/>
        <v>36.301369863013697</v>
      </c>
    </row>
    <row r="165" spans="1:9" ht="24.75" customHeight="1">
      <c r="A165" s="98"/>
      <c r="B165" s="92" t="s">
        <v>187</v>
      </c>
      <c r="C165" s="80"/>
      <c r="D165" s="24">
        <v>2.2000000000000002</v>
      </c>
      <c r="E165" s="24">
        <v>2.2000000000000002</v>
      </c>
      <c r="F165" s="24">
        <v>1.4</v>
      </c>
      <c r="G165" s="111">
        <f t="shared" si="31"/>
        <v>-0.80000000000000027</v>
      </c>
      <c r="H165" s="111">
        <f t="shared" si="32"/>
        <v>63.636363636363626</v>
      </c>
    </row>
    <row r="166" spans="1:9" ht="24.75" customHeight="1">
      <c r="A166" s="98"/>
      <c r="B166" s="92" t="s">
        <v>188</v>
      </c>
      <c r="C166" s="80"/>
      <c r="D166" s="24">
        <v>6.1</v>
      </c>
      <c r="E166" s="24">
        <v>10.8</v>
      </c>
      <c r="F166" s="24">
        <v>9.5</v>
      </c>
      <c r="G166" s="111">
        <f t="shared" si="31"/>
        <v>-1.3000000000000007</v>
      </c>
      <c r="H166" s="111">
        <f t="shared" si="32"/>
        <v>87.962962962962948</v>
      </c>
    </row>
    <row r="167" spans="1:9" ht="24.75" customHeight="1">
      <c r="A167" s="98"/>
      <c r="B167" s="92" t="s">
        <v>224</v>
      </c>
      <c r="C167" s="80"/>
      <c r="D167" s="24">
        <v>0.3</v>
      </c>
      <c r="E167" s="24">
        <v>0.5</v>
      </c>
      <c r="F167" s="24"/>
      <c r="G167" s="111">
        <f t="shared" si="31"/>
        <v>-0.5</v>
      </c>
      <c r="H167" s="111">
        <f t="shared" si="32"/>
        <v>0</v>
      </c>
    </row>
    <row r="168" spans="1:9" ht="24.75" customHeight="1">
      <c r="A168" s="96" t="s">
        <v>225</v>
      </c>
      <c r="B168" s="200" t="s">
        <v>318</v>
      </c>
      <c r="C168" s="77"/>
      <c r="D168" s="22">
        <f>D170+D174</f>
        <v>0</v>
      </c>
      <c r="E168" s="22">
        <f>E170+E174</f>
        <v>0</v>
      </c>
      <c r="F168" s="22">
        <f>F170+F174</f>
        <v>635.29999999999995</v>
      </c>
      <c r="G168" s="110">
        <f t="shared" ref="G168" si="33">F168-E168</f>
        <v>635.29999999999995</v>
      </c>
      <c r="H168" s="166" t="e">
        <f t="shared" ref="H168" si="34">(F168/E168)*100</f>
        <v>#DIV/0!</v>
      </c>
    </row>
    <row r="169" spans="1:9" ht="24.75" customHeight="1">
      <c r="A169" s="98"/>
      <c r="B169" s="87" t="s">
        <v>86</v>
      </c>
      <c r="C169" s="80"/>
      <c r="D169" s="24"/>
      <c r="E169" s="24"/>
      <c r="F169" s="24"/>
      <c r="G169" s="111"/>
      <c r="H169" s="160"/>
    </row>
    <row r="170" spans="1:9" ht="27.75" customHeight="1">
      <c r="A170" s="96" t="s">
        <v>340</v>
      </c>
      <c r="B170" s="200" t="s">
        <v>90</v>
      </c>
      <c r="C170" s="77">
        <v>1010</v>
      </c>
      <c r="D170" s="22"/>
      <c r="E170" s="22"/>
      <c r="F170" s="22">
        <f>F171</f>
        <v>635.29999999999995</v>
      </c>
      <c r="G170" s="110">
        <f t="shared" ref="G170:G172" si="35">F170-E170</f>
        <v>635.29999999999995</v>
      </c>
      <c r="H170" s="166" t="e">
        <f t="shared" ref="H170:H172" si="36">(F170/E170)*100</f>
        <v>#DIV/0!</v>
      </c>
    </row>
    <row r="171" spans="1:9" ht="27" customHeight="1">
      <c r="A171" s="99" t="s">
        <v>341</v>
      </c>
      <c r="B171" s="199" t="s">
        <v>112</v>
      </c>
      <c r="C171" s="162">
        <v>1011</v>
      </c>
      <c r="D171" s="70"/>
      <c r="E171" s="70"/>
      <c r="F171" s="70">
        <f>F172</f>
        <v>635.29999999999995</v>
      </c>
      <c r="G171" s="158">
        <f t="shared" si="35"/>
        <v>635.29999999999995</v>
      </c>
      <c r="H171" s="164" t="e">
        <f t="shared" si="36"/>
        <v>#DIV/0!</v>
      </c>
    </row>
    <row r="172" spans="1:9" ht="29.25" customHeight="1">
      <c r="A172" s="98"/>
      <c r="B172" s="79" t="s">
        <v>213</v>
      </c>
      <c r="C172" s="80"/>
      <c r="D172" s="24"/>
      <c r="E172" s="24"/>
      <c r="F172" s="24">
        <v>635.29999999999995</v>
      </c>
      <c r="G172" s="111">
        <f t="shared" si="35"/>
        <v>635.29999999999995</v>
      </c>
      <c r="H172" s="160" t="e">
        <f t="shared" si="36"/>
        <v>#DIV/0!</v>
      </c>
    </row>
    <row r="173" spans="1:9" ht="41.25" customHeight="1">
      <c r="A173" s="96" t="s">
        <v>227</v>
      </c>
      <c r="B173" s="100" t="s">
        <v>226</v>
      </c>
      <c r="C173" s="81"/>
      <c r="D173" s="22">
        <f>D175</f>
        <v>0</v>
      </c>
      <c r="E173" s="22">
        <f>E175</f>
        <v>5.5</v>
      </c>
      <c r="F173" s="22">
        <f>F175</f>
        <v>0</v>
      </c>
      <c r="G173" s="110">
        <f t="shared" si="31"/>
        <v>-5.5</v>
      </c>
      <c r="H173" s="110">
        <f t="shared" si="32"/>
        <v>0</v>
      </c>
    </row>
    <row r="174" spans="1:9" ht="24.75" customHeight="1">
      <c r="A174" s="98"/>
      <c r="B174" s="97" t="s">
        <v>86</v>
      </c>
      <c r="C174" s="80"/>
      <c r="D174" s="24"/>
      <c r="E174" s="24"/>
      <c r="F174" s="24"/>
      <c r="G174" s="110">
        <f t="shared" si="31"/>
        <v>0</v>
      </c>
      <c r="H174" s="166" t="e">
        <f t="shared" si="32"/>
        <v>#DIV/0!</v>
      </c>
    </row>
    <row r="175" spans="1:9" ht="24.75" customHeight="1">
      <c r="A175" s="96" t="s">
        <v>229</v>
      </c>
      <c r="B175" s="76" t="s">
        <v>90</v>
      </c>
      <c r="C175" s="77">
        <v>1010</v>
      </c>
      <c r="D175" s="22">
        <f t="shared" ref="D175:F176" si="37">D176</f>
        <v>0</v>
      </c>
      <c r="E175" s="22">
        <f t="shared" si="37"/>
        <v>5.5</v>
      </c>
      <c r="F175" s="22">
        <f t="shared" si="37"/>
        <v>0</v>
      </c>
      <c r="G175" s="110">
        <f t="shared" si="31"/>
        <v>-5.5</v>
      </c>
      <c r="H175" s="110">
        <f t="shared" si="32"/>
        <v>0</v>
      </c>
      <c r="I175" s="114"/>
    </row>
    <row r="176" spans="1:9" ht="24.75" customHeight="1">
      <c r="A176" s="99" t="s">
        <v>230</v>
      </c>
      <c r="B176" s="165" t="s">
        <v>99</v>
      </c>
      <c r="C176" s="118">
        <v>1015</v>
      </c>
      <c r="D176" s="70">
        <f t="shared" si="37"/>
        <v>0</v>
      </c>
      <c r="E176" s="70">
        <f t="shared" si="37"/>
        <v>5.5</v>
      </c>
      <c r="F176" s="70">
        <f t="shared" si="37"/>
        <v>0</v>
      </c>
      <c r="G176" s="158">
        <f t="shared" si="31"/>
        <v>-5.5</v>
      </c>
      <c r="H176" s="158">
        <f t="shared" si="32"/>
        <v>0</v>
      </c>
    </row>
    <row r="177" spans="1:8" ht="26.25" customHeight="1">
      <c r="A177" s="96"/>
      <c r="B177" s="83" t="s">
        <v>161</v>
      </c>
      <c r="C177" s="83"/>
      <c r="D177" s="24"/>
      <c r="E177" s="24">
        <v>5.5</v>
      </c>
      <c r="F177" s="24"/>
      <c r="G177" s="110">
        <f t="shared" si="31"/>
        <v>-5.5</v>
      </c>
      <c r="H177" s="110">
        <f t="shared" si="32"/>
        <v>0</v>
      </c>
    </row>
    <row r="178" spans="1:8" ht="24.75" customHeight="1">
      <c r="A178" s="96" t="s">
        <v>342</v>
      </c>
      <c r="B178" s="76" t="s">
        <v>228</v>
      </c>
      <c r="C178" s="81"/>
      <c r="D178" s="22">
        <f>D180</f>
        <v>6</v>
      </c>
      <c r="E178" s="22">
        <f>E180</f>
        <v>49.4</v>
      </c>
      <c r="F178" s="22">
        <f>F180</f>
        <v>23.3</v>
      </c>
      <c r="G178" s="110">
        <f t="shared" si="31"/>
        <v>-26.099999999999998</v>
      </c>
      <c r="H178" s="110">
        <f t="shared" si="32"/>
        <v>47.165991902834008</v>
      </c>
    </row>
    <row r="179" spans="1:8" ht="24.75" customHeight="1">
      <c r="A179" s="98"/>
      <c r="B179" s="97" t="s">
        <v>86</v>
      </c>
      <c r="C179" s="86"/>
      <c r="D179" s="24"/>
      <c r="E179" s="24"/>
      <c r="F179" s="24"/>
      <c r="G179" s="110">
        <f t="shared" si="31"/>
        <v>0</v>
      </c>
      <c r="H179" s="166" t="e">
        <f t="shared" si="32"/>
        <v>#DIV/0!</v>
      </c>
    </row>
    <row r="180" spans="1:8" ht="24.75" customHeight="1">
      <c r="A180" s="96" t="s">
        <v>343</v>
      </c>
      <c r="B180" s="107" t="s">
        <v>12</v>
      </c>
      <c r="C180" s="77">
        <v>1030</v>
      </c>
      <c r="D180" s="22">
        <f>D181</f>
        <v>6</v>
      </c>
      <c r="E180" s="22">
        <f>E181</f>
        <v>49.4</v>
      </c>
      <c r="F180" s="22">
        <f>F181</f>
        <v>23.3</v>
      </c>
      <c r="G180" s="110">
        <f t="shared" si="31"/>
        <v>-26.099999999999998</v>
      </c>
      <c r="H180" s="110">
        <f t="shared" si="32"/>
        <v>47.165991902834008</v>
      </c>
    </row>
    <row r="181" spans="1:8" ht="24.75" customHeight="1">
      <c r="A181" s="99" t="s">
        <v>344</v>
      </c>
      <c r="B181" s="197" t="s">
        <v>93</v>
      </c>
      <c r="C181" s="162">
        <v>1035</v>
      </c>
      <c r="D181" s="70">
        <f>SUM(D182:D184)</f>
        <v>6</v>
      </c>
      <c r="E181" s="70">
        <f>SUM(E182:E184)</f>
        <v>49.4</v>
      </c>
      <c r="F181" s="70">
        <f>SUM(F182:F184)</f>
        <v>23.3</v>
      </c>
      <c r="G181" s="158">
        <f t="shared" si="31"/>
        <v>-26.099999999999998</v>
      </c>
      <c r="H181" s="158">
        <f t="shared" si="32"/>
        <v>47.165991902834008</v>
      </c>
    </row>
    <row r="182" spans="1:8" ht="24.75" customHeight="1">
      <c r="A182" s="101"/>
      <c r="B182" s="79" t="s">
        <v>186</v>
      </c>
      <c r="C182" s="80"/>
      <c r="D182" s="24">
        <v>2.8</v>
      </c>
      <c r="E182" s="24">
        <v>20.7</v>
      </c>
      <c r="F182" s="24">
        <v>5.3</v>
      </c>
      <c r="G182" s="110">
        <f t="shared" si="31"/>
        <v>-15.399999999999999</v>
      </c>
      <c r="H182" s="110">
        <f t="shared" si="32"/>
        <v>25.60386473429952</v>
      </c>
    </row>
    <row r="183" spans="1:8" ht="24.75" customHeight="1">
      <c r="A183" s="101"/>
      <c r="B183" s="79" t="s">
        <v>187</v>
      </c>
      <c r="C183" s="80"/>
      <c r="D183" s="24">
        <v>0.3</v>
      </c>
      <c r="E183" s="24">
        <v>0.8</v>
      </c>
      <c r="F183" s="24">
        <v>1</v>
      </c>
      <c r="G183" s="110">
        <f t="shared" si="31"/>
        <v>0.19999999999999996</v>
      </c>
      <c r="H183" s="110">
        <f t="shared" si="32"/>
        <v>125</v>
      </c>
    </row>
    <row r="184" spans="1:8" ht="26.25" customHeight="1">
      <c r="A184" s="96"/>
      <c r="B184" s="79" t="s">
        <v>188</v>
      </c>
      <c r="C184" s="80"/>
      <c r="D184" s="24">
        <v>2.9</v>
      </c>
      <c r="E184" s="24">
        <v>27.9</v>
      </c>
      <c r="F184" s="24">
        <v>17</v>
      </c>
      <c r="G184" s="110">
        <f t="shared" si="31"/>
        <v>-10.899999999999999</v>
      </c>
      <c r="H184" s="110">
        <f t="shared" si="32"/>
        <v>60.931899641577061</v>
      </c>
    </row>
    <row r="185" spans="1:8" ht="40.5" customHeight="1">
      <c r="A185" s="96" t="s">
        <v>262</v>
      </c>
      <c r="B185" s="93" t="s">
        <v>231</v>
      </c>
      <c r="C185" s="90"/>
      <c r="D185" s="22">
        <f>D187+D190</f>
        <v>9.6</v>
      </c>
      <c r="E185" s="22">
        <f>E187+E190</f>
        <v>5.6</v>
      </c>
      <c r="F185" s="22">
        <f>F187+F190</f>
        <v>8.6</v>
      </c>
      <c r="G185" s="110">
        <f t="shared" si="31"/>
        <v>3</v>
      </c>
      <c r="H185" s="110">
        <f t="shared" si="32"/>
        <v>153.57142857142858</v>
      </c>
    </row>
    <row r="186" spans="1:8" ht="24.75" customHeight="1">
      <c r="A186" s="96"/>
      <c r="B186" s="97" t="s">
        <v>86</v>
      </c>
      <c r="C186" s="90"/>
      <c r="D186" s="24"/>
      <c r="E186" s="24"/>
      <c r="F186" s="24"/>
      <c r="G186" s="110"/>
      <c r="H186" s="110"/>
    </row>
    <row r="187" spans="1:8" ht="24.75" customHeight="1">
      <c r="A187" s="96" t="s">
        <v>264</v>
      </c>
      <c r="B187" s="76" t="s">
        <v>90</v>
      </c>
      <c r="C187" s="90">
        <v>1010</v>
      </c>
      <c r="D187" s="22">
        <f t="shared" ref="D187:F188" si="38">D188</f>
        <v>8.6999999999999993</v>
      </c>
      <c r="E187" s="22">
        <f t="shared" si="38"/>
        <v>5</v>
      </c>
      <c r="F187" s="22">
        <f t="shared" si="38"/>
        <v>8.1</v>
      </c>
      <c r="G187" s="110">
        <f t="shared" ref="G187:G192" si="39">F187-E187</f>
        <v>3.0999999999999996</v>
      </c>
      <c r="H187" s="110">
        <f t="shared" ref="H187:H192" si="40">(F187/E187)*100</f>
        <v>162</v>
      </c>
    </row>
    <row r="188" spans="1:8" ht="24.75" customHeight="1">
      <c r="A188" s="99" t="s">
        <v>265</v>
      </c>
      <c r="B188" s="161" t="s">
        <v>99</v>
      </c>
      <c r="C188" s="118">
        <v>1015</v>
      </c>
      <c r="D188" s="41">
        <f t="shared" si="38"/>
        <v>8.6999999999999993</v>
      </c>
      <c r="E188" s="41">
        <f t="shared" si="38"/>
        <v>5</v>
      </c>
      <c r="F188" s="41">
        <f t="shared" si="38"/>
        <v>8.1</v>
      </c>
      <c r="G188" s="196">
        <f t="shared" si="39"/>
        <v>3.0999999999999996</v>
      </c>
      <c r="H188" s="196">
        <f t="shared" si="40"/>
        <v>162</v>
      </c>
    </row>
    <row r="189" spans="1:8" ht="24.75" customHeight="1">
      <c r="A189" s="101"/>
      <c r="B189" s="79" t="s">
        <v>232</v>
      </c>
      <c r="C189" s="91"/>
      <c r="D189" s="24">
        <v>8.6999999999999993</v>
      </c>
      <c r="E189" s="24">
        <v>5</v>
      </c>
      <c r="F189" s="24">
        <v>8.1</v>
      </c>
      <c r="G189" s="111">
        <f t="shared" si="39"/>
        <v>3.0999999999999996</v>
      </c>
      <c r="H189" s="111">
        <f t="shared" si="40"/>
        <v>162</v>
      </c>
    </row>
    <row r="190" spans="1:8" ht="24.75" customHeight="1">
      <c r="A190" s="96" t="s">
        <v>347</v>
      </c>
      <c r="B190" s="95" t="s">
        <v>92</v>
      </c>
      <c r="C190" s="90">
        <v>1020</v>
      </c>
      <c r="D190" s="22">
        <f t="shared" ref="D190:F191" si="41">D191</f>
        <v>0.9</v>
      </c>
      <c r="E190" s="22">
        <f t="shared" si="41"/>
        <v>0.6</v>
      </c>
      <c r="F190" s="22">
        <f t="shared" si="41"/>
        <v>0.5</v>
      </c>
      <c r="G190" s="110">
        <f t="shared" si="39"/>
        <v>-9.9999999999999978E-2</v>
      </c>
      <c r="H190" s="110">
        <f t="shared" si="40"/>
        <v>83.333333333333343</v>
      </c>
    </row>
    <row r="191" spans="1:8" ht="24.75" customHeight="1">
      <c r="A191" s="99" t="s">
        <v>348</v>
      </c>
      <c r="B191" s="167" t="s">
        <v>191</v>
      </c>
      <c r="C191" s="162">
        <v>1025</v>
      </c>
      <c r="D191" s="70">
        <f t="shared" si="41"/>
        <v>0.9</v>
      </c>
      <c r="E191" s="70">
        <f t="shared" si="41"/>
        <v>0.6</v>
      </c>
      <c r="F191" s="70">
        <f t="shared" si="41"/>
        <v>0.5</v>
      </c>
      <c r="G191" s="158">
        <f t="shared" si="39"/>
        <v>-9.9999999999999978E-2</v>
      </c>
      <c r="H191" s="158">
        <f t="shared" si="40"/>
        <v>83.333333333333343</v>
      </c>
    </row>
    <row r="192" spans="1:8" ht="24.75" customHeight="1">
      <c r="A192" s="96"/>
      <c r="B192" s="88" t="s">
        <v>233</v>
      </c>
      <c r="C192" s="80"/>
      <c r="D192" s="24">
        <v>0.9</v>
      </c>
      <c r="E192" s="24">
        <v>0.6</v>
      </c>
      <c r="F192" s="24">
        <v>0.5</v>
      </c>
      <c r="G192" s="111">
        <f t="shared" si="39"/>
        <v>-9.9999999999999978E-2</v>
      </c>
      <c r="H192" s="111">
        <f t="shared" si="40"/>
        <v>83.333333333333343</v>
      </c>
    </row>
    <row r="193" spans="1:8" ht="24.75" customHeight="1">
      <c r="A193" s="96" t="s">
        <v>268</v>
      </c>
      <c r="B193" s="76" t="s">
        <v>315</v>
      </c>
      <c r="C193" s="77"/>
      <c r="D193" s="24"/>
      <c r="E193" s="22"/>
      <c r="F193" s="22">
        <f>F195</f>
        <v>15.5</v>
      </c>
      <c r="G193" s="111">
        <f t="shared" ref="G193:G197" si="42">F193-E193</f>
        <v>15.5</v>
      </c>
      <c r="H193" s="160" t="e">
        <f t="shared" ref="H193:H197" si="43">(F193/E193)*100</f>
        <v>#DIV/0!</v>
      </c>
    </row>
    <row r="194" spans="1:8" ht="24.75" customHeight="1">
      <c r="A194" s="96"/>
      <c r="B194" s="97" t="s">
        <v>86</v>
      </c>
      <c r="C194" s="90"/>
      <c r="D194" s="24"/>
      <c r="E194" s="24"/>
      <c r="F194" s="24"/>
      <c r="G194" s="111"/>
      <c r="H194" s="160" t="e">
        <f t="shared" si="43"/>
        <v>#DIV/0!</v>
      </c>
    </row>
    <row r="195" spans="1:8" ht="24.75" customHeight="1">
      <c r="A195" s="96" t="s">
        <v>345</v>
      </c>
      <c r="B195" s="95" t="s">
        <v>93</v>
      </c>
      <c r="C195" s="90">
        <v>1030</v>
      </c>
      <c r="D195" s="22"/>
      <c r="E195" s="22"/>
      <c r="F195" s="22">
        <f>F196</f>
        <v>15.5</v>
      </c>
      <c r="G195" s="110">
        <f t="shared" si="42"/>
        <v>15.5</v>
      </c>
      <c r="H195" s="166" t="e">
        <f t="shared" si="43"/>
        <v>#DIV/0!</v>
      </c>
    </row>
    <row r="196" spans="1:8" ht="24.75" customHeight="1">
      <c r="A196" s="99" t="s">
        <v>346</v>
      </c>
      <c r="B196" s="117" t="s">
        <v>93</v>
      </c>
      <c r="C196" s="162">
        <v>1035</v>
      </c>
      <c r="D196" s="70"/>
      <c r="E196" s="70"/>
      <c r="F196" s="70">
        <f>F197</f>
        <v>15.5</v>
      </c>
      <c r="G196" s="158">
        <f t="shared" si="42"/>
        <v>15.5</v>
      </c>
      <c r="H196" s="164" t="e">
        <f t="shared" si="43"/>
        <v>#DIV/0!</v>
      </c>
    </row>
    <row r="197" spans="1:8" ht="24.75" customHeight="1">
      <c r="A197" s="96"/>
      <c r="B197" s="88" t="s">
        <v>374</v>
      </c>
      <c r="C197" s="77"/>
      <c r="D197" s="24"/>
      <c r="E197" s="24"/>
      <c r="F197" s="24">
        <v>15.5</v>
      </c>
      <c r="G197" s="111">
        <f t="shared" si="42"/>
        <v>15.5</v>
      </c>
      <c r="H197" s="160" t="e">
        <f t="shared" si="43"/>
        <v>#DIV/0!</v>
      </c>
    </row>
    <row r="198" spans="1:8" ht="24.75" customHeight="1">
      <c r="A198" s="96" t="s">
        <v>349</v>
      </c>
      <c r="B198" s="95" t="s">
        <v>263</v>
      </c>
      <c r="C198" s="138"/>
      <c r="D198" s="22">
        <f>D200+D213</f>
        <v>400.50000000000006</v>
      </c>
      <c r="E198" s="22"/>
      <c r="F198" s="22">
        <f>F200</f>
        <v>355.40000000000003</v>
      </c>
      <c r="G198" s="110">
        <f>F198-E198</f>
        <v>355.40000000000003</v>
      </c>
      <c r="H198" s="160" t="e">
        <f>(F198/E198)*100</f>
        <v>#DIV/0!</v>
      </c>
    </row>
    <row r="199" spans="1:8" ht="24.75" customHeight="1">
      <c r="A199" s="101"/>
      <c r="B199" s="97" t="s">
        <v>86</v>
      </c>
      <c r="C199" s="91"/>
      <c r="D199" s="24"/>
      <c r="E199" s="24">
        <f>E201</f>
        <v>0</v>
      </c>
      <c r="F199" s="24"/>
      <c r="G199" s="110"/>
      <c r="H199" s="166" t="e">
        <f>(F199/E199)*100</f>
        <v>#DIV/0!</v>
      </c>
    </row>
    <row r="200" spans="1:8" ht="24.75" customHeight="1">
      <c r="A200" s="96" t="s">
        <v>350</v>
      </c>
      <c r="B200" s="95" t="s">
        <v>90</v>
      </c>
      <c r="C200" s="90">
        <v>1010</v>
      </c>
      <c r="D200" s="22">
        <f>D201+D207</f>
        <v>400.40000000000003</v>
      </c>
      <c r="E200" s="22"/>
      <c r="F200" s="22">
        <f>F201+F207</f>
        <v>355.40000000000003</v>
      </c>
      <c r="G200" s="110">
        <f t="shared" ref="G200" si="44">F200-E200</f>
        <v>355.40000000000003</v>
      </c>
      <c r="H200" s="166" t="e">
        <f t="shared" ref="H200" si="45">(F200/E200)*100</f>
        <v>#DIV/0!</v>
      </c>
    </row>
    <row r="201" spans="1:8" ht="24.75" customHeight="1">
      <c r="A201" s="99" t="s">
        <v>351</v>
      </c>
      <c r="B201" s="167" t="s">
        <v>112</v>
      </c>
      <c r="C201" s="162">
        <v>1011</v>
      </c>
      <c r="D201" s="70">
        <f>SUM(D202:D206)</f>
        <v>392.3</v>
      </c>
      <c r="E201" s="70"/>
      <c r="F201" s="70">
        <f>SUM(F202:F204)</f>
        <v>332.90000000000003</v>
      </c>
      <c r="G201" s="158">
        <f>F201-E201</f>
        <v>332.90000000000003</v>
      </c>
      <c r="H201" s="164" t="e">
        <f>(F201/E201)*100</f>
        <v>#DIV/0!</v>
      </c>
    </row>
    <row r="202" spans="1:8" ht="24.75" customHeight="1">
      <c r="A202" s="96"/>
      <c r="B202" s="88" t="s">
        <v>251</v>
      </c>
      <c r="C202" s="77"/>
      <c r="D202" s="24">
        <f>313.7-0.3+35.3-0.4</f>
        <v>348.3</v>
      </c>
      <c r="E202" s="24"/>
      <c r="F202" s="24">
        <f>407.6+1.5+16.8-138.9</f>
        <v>287</v>
      </c>
      <c r="G202" s="111">
        <f t="shared" ref="G202:G220" si="46">F202-E202</f>
        <v>287</v>
      </c>
      <c r="H202" s="160" t="e">
        <f t="shared" ref="H202:H220" si="47">(F202/E202)*100</f>
        <v>#DIV/0!</v>
      </c>
    </row>
    <row r="203" spans="1:8" ht="24.75" customHeight="1">
      <c r="A203" s="96"/>
      <c r="B203" s="88" t="s">
        <v>149</v>
      </c>
      <c r="C203" s="77"/>
      <c r="D203" s="24">
        <f>9.1+10.8</f>
        <v>19.899999999999999</v>
      </c>
      <c r="E203" s="24"/>
      <c r="F203" s="24">
        <v>44.3</v>
      </c>
      <c r="G203" s="111">
        <f t="shared" si="46"/>
        <v>44.3</v>
      </c>
      <c r="H203" s="160" t="e">
        <f t="shared" si="47"/>
        <v>#DIV/0!</v>
      </c>
    </row>
    <row r="204" spans="1:8" ht="40.5" customHeight="1">
      <c r="A204" s="96"/>
      <c r="B204" s="79" t="s">
        <v>252</v>
      </c>
      <c r="C204" s="77"/>
      <c r="D204" s="24">
        <f>14.2+2.6</f>
        <v>16.8</v>
      </c>
      <c r="E204" s="24"/>
      <c r="F204" s="24">
        <v>1.6</v>
      </c>
      <c r="G204" s="111">
        <f t="shared" si="46"/>
        <v>1.6</v>
      </c>
      <c r="H204" s="160" t="e">
        <f t="shared" si="47"/>
        <v>#DIV/0!</v>
      </c>
    </row>
    <row r="205" spans="1:8" ht="24.75" customHeight="1">
      <c r="A205" s="96"/>
      <c r="B205" s="79" t="s">
        <v>195</v>
      </c>
      <c r="C205" s="77"/>
      <c r="D205" s="24">
        <v>6.5</v>
      </c>
      <c r="E205" s="24"/>
      <c r="F205" s="24">
        <v>0.7</v>
      </c>
      <c r="G205" s="111">
        <f t="shared" si="46"/>
        <v>0.7</v>
      </c>
      <c r="H205" s="160" t="e">
        <f t="shared" si="47"/>
        <v>#DIV/0!</v>
      </c>
    </row>
    <row r="206" spans="1:8" ht="27" customHeight="1">
      <c r="A206" s="96"/>
      <c r="B206" s="79" t="s">
        <v>176</v>
      </c>
      <c r="C206" s="77"/>
      <c r="D206" s="24">
        <f>0.5+0.3</f>
        <v>0.8</v>
      </c>
      <c r="E206" s="24"/>
      <c r="F206" s="24"/>
      <c r="G206" s="111">
        <f t="shared" si="46"/>
        <v>0</v>
      </c>
      <c r="H206" s="160" t="e">
        <f t="shared" si="47"/>
        <v>#DIV/0!</v>
      </c>
    </row>
    <row r="207" spans="1:8" ht="24.75" customHeight="1">
      <c r="A207" s="99" t="s">
        <v>352</v>
      </c>
      <c r="B207" s="157" t="s">
        <v>99</v>
      </c>
      <c r="C207" s="118">
        <v>1015</v>
      </c>
      <c r="D207" s="70">
        <f>SUM(D208:D212)</f>
        <v>8.1</v>
      </c>
      <c r="E207" s="70"/>
      <c r="F207" s="70">
        <f>SUM(F212:F212)</f>
        <v>22.5</v>
      </c>
      <c r="G207" s="158">
        <f t="shared" si="46"/>
        <v>22.5</v>
      </c>
      <c r="H207" s="164" t="e">
        <f t="shared" si="47"/>
        <v>#DIV/0!</v>
      </c>
    </row>
    <row r="208" spans="1:8" ht="24.75" customHeight="1">
      <c r="A208" s="96"/>
      <c r="B208" s="102" t="s">
        <v>160</v>
      </c>
      <c r="C208" s="90"/>
      <c r="D208" s="24">
        <v>2.5</v>
      </c>
      <c r="E208" s="24"/>
      <c r="F208" s="24"/>
      <c r="G208" s="111">
        <f t="shared" si="46"/>
        <v>0</v>
      </c>
      <c r="H208" s="160" t="e">
        <f t="shared" si="47"/>
        <v>#DIV/0!</v>
      </c>
    </row>
    <row r="209" spans="1:8" ht="24.75" customHeight="1">
      <c r="A209" s="96"/>
      <c r="B209" s="102" t="s">
        <v>156</v>
      </c>
      <c r="C209" s="90"/>
      <c r="D209" s="24">
        <v>4.0999999999999996</v>
      </c>
      <c r="E209" s="24"/>
      <c r="F209" s="24"/>
      <c r="G209" s="111">
        <f t="shared" si="46"/>
        <v>0</v>
      </c>
      <c r="H209" s="160" t="e">
        <f t="shared" si="47"/>
        <v>#DIV/0!</v>
      </c>
    </row>
    <row r="210" spans="1:8" ht="24.75" customHeight="1">
      <c r="A210" s="96"/>
      <c r="B210" s="79" t="s">
        <v>182</v>
      </c>
      <c r="C210" s="90"/>
      <c r="D210" s="24">
        <v>1.3</v>
      </c>
      <c r="E210" s="24"/>
      <c r="F210" s="24"/>
      <c r="G210" s="111">
        <f t="shared" si="46"/>
        <v>0</v>
      </c>
      <c r="H210" s="160" t="e">
        <f t="shared" si="47"/>
        <v>#DIV/0!</v>
      </c>
    </row>
    <row r="211" spans="1:8" ht="24.75" customHeight="1">
      <c r="A211" s="96"/>
      <c r="B211" s="102" t="s">
        <v>232</v>
      </c>
      <c r="C211" s="90"/>
      <c r="D211" s="24">
        <v>0.2</v>
      </c>
      <c r="E211" s="24"/>
      <c r="F211" s="24"/>
      <c r="G211" s="111">
        <f t="shared" si="46"/>
        <v>0</v>
      </c>
      <c r="H211" s="160" t="e">
        <f t="shared" si="47"/>
        <v>#DIV/0!</v>
      </c>
    </row>
    <row r="212" spans="1:8" ht="24.75" customHeight="1">
      <c r="A212" s="96"/>
      <c r="B212" s="79" t="s">
        <v>181</v>
      </c>
      <c r="C212" s="91"/>
      <c r="D212" s="24"/>
      <c r="E212" s="24"/>
      <c r="F212" s="24">
        <v>22.5</v>
      </c>
      <c r="G212" s="111">
        <f t="shared" si="46"/>
        <v>22.5</v>
      </c>
      <c r="H212" s="160" t="e">
        <f t="shared" si="47"/>
        <v>#DIV/0!</v>
      </c>
    </row>
    <row r="213" spans="1:8" ht="24.75" customHeight="1">
      <c r="A213" s="96" t="s">
        <v>353</v>
      </c>
      <c r="B213" s="95" t="s">
        <v>93</v>
      </c>
      <c r="C213" s="90">
        <v>1030</v>
      </c>
      <c r="D213" s="22">
        <f>D214</f>
        <v>0.1</v>
      </c>
      <c r="E213" s="22"/>
      <c r="F213" s="22"/>
      <c r="G213" s="110">
        <f t="shared" si="46"/>
        <v>0</v>
      </c>
      <c r="H213" s="166" t="e">
        <f t="shared" si="47"/>
        <v>#DIV/0!</v>
      </c>
    </row>
    <row r="214" spans="1:8" ht="24.75" customHeight="1">
      <c r="A214" s="99" t="s">
        <v>354</v>
      </c>
      <c r="B214" s="117" t="s">
        <v>93</v>
      </c>
      <c r="C214" s="162">
        <v>1035</v>
      </c>
      <c r="D214" s="70">
        <f>D215</f>
        <v>0.1</v>
      </c>
      <c r="E214" s="70"/>
      <c r="F214" s="70"/>
      <c r="G214" s="158">
        <f t="shared" si="46"/>
        <v>0</v>
      </c>
      <c r="H214" s="164" t="e">
        <f t="shared" si="47"/>
        <v>#DIV/0!</v>
      </c>
    </row>
    <row r="215" spans="1:8" ht="24.75" customHeight="1">
      <c r="A215" s="96"/>
      <c r="B215" s="88" t="s">
        <v>307</v>
      </c>
      <c r="C215" s="90"/>
      <c r="D215" s="24">
        <v>0.1</v>
      </c>
      <c r="E215" s="24"/>
      <c r="F215" s="24"/>
      <c r="G215" s="111">
        <f t="shared" si="46"/>
        <v>0</v>
      </c>
      <c r="H215" s="160" t="e">
        <f t="shared" si="47"/>
        <v>#DIV/0!</v>
      </c>
    </row>
    <row r="216" spans="1:8" ht="42" customHeight="1">
      <c r="A216" s="96" t="s">
        <v>355</v>
      </c>
      <c r="B216" s="100" t="s">
        <v>319</v>
      </c>
      <c r="C216" s="90"/>
      <c r="D216" s="22">
        <f>D218</f>
        <v>0.4</v>
      </c>
      <c r="E216" s="22"/>
      <c r="F216" s="22">
        <f>F218</f>
        <v>0</v>
      </c>
      <c r="G216" s="110">
        <f t="shared" si="46"/>
        <v>0</v>
      </c>
      <c r="H216" s="160" t="e">
        <f t="shared" si="47"/>
        <v>#DIV/0!</v>
      </c>
    </row>
    <row r="217" spans="1:8" ht="24.75" customHeight="1">
      <c r="A217" s="101"/>
      <c r="B217" s="97" t="s">
        <v>86</v>
      </c>
      <c r="C217" s="90"/>
      <c r="D217" s="24"/>
      <c r="E217" s="24"/>
      <c r="F217" s="24"/>
      <c r="G217" s="111">
        <f t="shared" si="46"/>
        <v>0</v>
      </c>
      <c r="H217" s="160" t="e">
        <f t="shared" si="47"/>
        <v>#DIV/0!</v>
      </c>
    </row>
    <row r="218" spans="1:8" ht="24.75" customHeight="1">
      <c r="A218" s="96" t="s">
        <v>356</v>
      </c>
      <c r="B218" s="95" t="s">
        <v>90</v>
      </c>
      <c r="C218" s="90">
        <v>1010</v>
      </c>
      <c r="D218" s="22">
        <f>D219</f>
        <v>0.4</v>
      </c>
      <c r="E218" s="22"/>
      <c r="F218" s="22">
        <f>F219</f>
        <v>0</v>
      </c>
      <c r="G218" s="110">
        <f t="shared" si="46"/>
        <v>0</v>
      </c>
      <c r="H218" s="166" t="e">
        <f t="shared" si="47"/>
        <v>#DIV/0!</v>
      </c>
    </row>
    <row r="219" spans="1:8" ht="24.75" customHeight="1">
      <c r="A219" s="99" t="s">
        <v>357</v>
      </c>
      <c r="B219" s="167" t="s">
        <v>112</v>
      </c>
      <c r="C219" s="118">
        <v>1011</v>
      </c>
      <c r="D219" s="70">
        <f>D220</f>
        <v>0.4</v>
      </c>
      <c r="E219" s="22"/>
      <c r="F219" s="22">
        <f>F220</f>
        <v>0</v>
      </c>
      <c r="G219" s="110">
        <f t="shared" si="46"/>
        <v>0</v>
      </c>
      <c r="H219" s="166" t="e">
        <f t="shared" si="47"/>
        <v>#DIV/0!</v>
      </c>
    </row>
    <row r="220" spans="1:8" ht="24.75" customHeight="1">
      <c r="A220" s="96"/>
      <c r="B220" s="88" t="s">
        <v>251</v>
      </c>
      <c r="C220" s="90"/>
      <c r="D220" s="24">
        <v>0.4</v>
      </c>
      <c r="E220" s="24"/>
      <c r="F220" s="24">
        <v>0</v>
      </c>
      <c r="G220" s="111">
        <f t="shared" si="46"/>
        <v>0</v>
      </c>
      <c r="H220" s="160" t="e">
        <f t="shared" si="47"/>
        <v>#DIV/0!</v>
      </c>
    </row>
    <row r="221" spans="1:8" ht="24.75" customHeight="1">
      <c r="A221" s="96" t="s">
        <v>358</v>
      </c>
      <c r="B221" s="76" t="s">
        <v>269</v>
      </c>
      <c r="C221" s="90"/>
      <c r="D221" s="22">
        <f>D223+D238</f>
        <v>28.8</v>
      </c>
      <c r="E221" s="22">
        <f>E223+E238</f>
        <v>0</v>
      </c>
      <c r="F221" s="22">
        <f>F223+F238</f>
        <v>288.40000000000003</v>
      </c>
      <c r="G221" s="111">
        <f t="shared" ref="G221:G262" si="48">F221-E221</f>
        <v>288.40000000000003</v>
      </c>
      <c r="H221" s="160" t="e">
        <f t="shared" ref="H221:H262" si="49">(F221/E221)*100</f>
        <v>#DIV/0!</v>
      </c>
    </row>
    <row r="222" spans="1:8" ht="24.75" customHeight="1">
      <c r="A222" s="96"/>
      <c r="B222" s="106" t="s">
        <v>86</v>
      </c>
      <c r="C222" s="90"/>
      <c r="D222" s="24"/>
      <c r="E222" s="24"/>
      <c r="F222" s="24"/>
      <c r="G222" s="111">
        <f t="shared" si="48"/>
        <v>0</v>
      </c>
      <c r="H222" s="160" t="e">
        <f t="shared" si="49"/>
        <v>#DIV/0!</v>
      </c>
    </row>
    <row r="223" spans="1:8" ht="24.75" customHeight="1">
      <c r="A223" s="96" t="s">
        <v>359</v>
      </c>
      <c r="B223" s="95" t="s">
        <v>90</v>
      </c>
      <c r="C223" s="90">
        <v>1010</v>
      </c>
      <c r="D223" s="22">
        <f>D224+D230+D231</f>
        <v>23</v>
      </c>
      <c r="E223" s="22">
        <f>E224+E230+E231</f>
        <v>0</v>
      </c>
      <c r="F223" s="22">
        <f>F224+F230+F231</f>
        <v>240.60000000000002</v>
      </c>
      <c r="G223" s="110">
        <f t="shared" si="48"/>
        <v>240.60000000000002</v>
      </c>
      <c r="H223" s="166" t="e">
        <f t="shared" si="49"/>
        <v>#DIV/0!</v>
      </c>
    </row>
    <row r="224" spans="1:8" ht="27.75" customHeight="1">
      <c r="A224" s="99" t="s">
        <v>360</v>
      </c>
      <c r="B224" s="167" t="s">
        <v>112</v>
      </c>
      <c r="C224" s="162">
        <v>1011</v>
      </c>
      <c r="D224" s="70">
        <f>SUM(D225:D229)</f>
        <v>12.100000000000001</v>
      </c>
      <c r="E224" s="70">
        <f>SUM(E225:E229)</f>
        <v>0</v>
      </c>
      <c r="F224" s="70">
        <f>SUM(F225:F229)</f>
        <v>219.50000000000003</v>
      </c>
      <c r="G224" s="158">
        <f t="shared" si="48"/>
        <v>219.50000000000003</v>
      </c>
      <c r="H224" s="164" t="e">
        <f t="shared" si="49"/>
        <v>#DIV/0!</v>
      </c>
    </row>
    <row r="225" spans="1:8" ht="24.75" customHeight="1">
      <c r="A225" s="96"/>
      <c r="B225" s="88" t="s">
        <v>195</v>
      </c>
      <c r="C225" s="77"/>
      <c r="D225" s="24"/>
      <c r="E225" s="24"/>
      <c r="F225" s="24">
        <v>2.9</v>
      </c>
      <c r="G225" s="111">
        <f t="shared" si="48"/>
        <v>2.9</v>
      </c>
      <c r="H225" s="160" t="e">
        <f t="shared" si="49"/>
        <v>#DIV/0!</v>
      </c>
    </row>
    <row r="226" spans="1:8" ht="24.75" customHeight="1">
      <c r="A226" s="101"/>
      <c r="B226" s="88" t="s">
        <v>270</v>
      </c>
      <c r="C226" s="77"/>
      <c r="D226" s="24"/>
      <c r="E226" s="24"/>
      <c r="F226" s="24">
        <f>26+138.9</f>
        <v>164.9</v>
      </c>
      <c r="G226" s="111">
        <f t="shared" si="48"/>
        <v>164.9</v>
      </c>
      <c r="H226" s="160" t="e">
        <f t="shared" si="49"/>
        <v>#DIV/0!</v>
      </c>
    </row>
    <row r="227" spans="1:8" ht="24.75" customHeight="1">
      <c r="A227" s="101"/>
      <c r="B227" s="88" t="s">
        <v>149</v>
      </c>
      <c r="C227" s="77"/>
      <c r="D227" s="24"/>
      <c r="E227" s="24"/>
      <c r="F227" s="24">
        <v>16.8</v>
      </c>
      <c r="G227" s="111">
        <f t="shared" si="48"/>
        <v>16.8</v>
      </c>
      <c r="H227" s="160" t="e">
        <f t="shared" si="49"/>
        <v>#DIV/0!</v>
      </c>
    </row>
    <row r="228" spans="1:8" ht="42" customHeight="1">
      <c r="A228" s="101"/>
      <c r="B228" s="79" t="s">
        <v>252</v>
      </c>
      <c r="C228" s="77"/>
      <c r="D228" s="24">
        <v>9.8000000000000007</v>
      </c>
      <c r="E228" s="24"/>
      <c r="F228" s="24">
        <v>22.4</v>
      </c>
      <c r="G228" s="111">
        <f t="shared" si="48"/>
        <v>22.4</v>
      </c>
      <c r="H228" s="160" t="e">
        <f t="shared" si="49"/>
        <v>#DIV/0!</v>
      </c>
    </row>
    <row r="229" spans="1:8" ht="24.75" customHeight="1">
      <c r="A229" s="101"/>
      <c r="B229" s="79" t="s">
        <v>266</v>
      </c>
      <c r="C229" s="77"/>
      <c r="D229" s="24">
        <f>7.6-5.3</f>
        <v>2.2999999999999998</v>
      </c>
      <c r="E229" s="24"/>
      <c r="F229" s="24">
        <v>12.5</v>
      </c>
      <c r="G229" s="111">
        <f t="shared" si="48"/>
        <v>12.5</v>
      </c>
      <c r="H229" s="160" t="e">
        <f t="shared" si="49"/>
        <v>#DIV/0!</v>
      </c>
    </row>
    <row r="230" spans="1:8" ht="24.75" customHeight="1">
      <c r="A230" s="99" t="s">
        <v>361</v>
      </c>
      <c r="B230" s="167" t="s">
        <v>4</v>
      </c>
      <c r="C230" s="118">
        <v>1014</v>
      </c>
      <c r="D230" s="70">
        <v>9.1999999999999993</v>
      </c>
      <c r="E230" s="70"/>
      <c r="F230" s="70">
        <v>4.9000000000000004</v>
      </c>
      <c r="G230" s="158">
        <f t="shared" si="48"/>
        <v>4.9000000000000004</v>
      </c>
      <c r="H230" s="164" t="e">
        <f t="shared" si="49"/>
        <v>#DIV/0!</v>
      </c>
    </row>
    <row r="231" spans="1:8" ht="24.75" customHeight="1">
      <c r="A231" s="99" t="s">
        <v>362</v>
      </c>
      <c r="B231" s="157" t="s">
        <v>99</v>
      </c>
      <c r="C231" s="118">
        <v>1015</v>
      </c>
      <c r="D231" s="70">
        <f>SUM(D232:D237)</f>
        <v>1.7000000000000002</v>
      </c>
      <c r="E231" s="70">
        <f>SUM(E232:E237)</f>
        <v>0</v>
      </c>
      <c r="F231" s="70">
        <f>SUM(F232:F237)</f>
        <v>16.2</v>
      </c>
      <c r="G231" s="158">
        <f t="shared" si="48"/>
        <v>16.2</v>
      </c>
      <c r="H231" s="164" t="e">
        <f t="shared" si="49"/>
        <v>#DIV/0!</v>
      </c>
    </row>
    <row r="232" spans="1:8" ht="24.75" customHeight="1">
      <c r="A232" s="96"/>
      <c r="B232" s="79" t="s">
        <v>159</v>
      </c>
      <c r="C232" s="90"/>
      <c r="D232" s="24"/>
      <c r="E232" s="24"/>
      <c r="F232" s="24">
        <v>4.3</v>
      </c>
      <c r="G232" s="111">
        <f t="shared" si="48"/>
        <v>4.3</v>
      </c>
      <c r="H232" s="160" t="e">
        <f t="shared" si="49"/>
        <v>#DIV/0!</v>
      </c>
    </row>
    <row r="233" spans="1:8" ht="24.75" customHeight="1">
      <c r="A233" s="96"/>
      <c r="B233" s="79" t="s">
        <v>160</v>
      </c>
      <c r="C233" s="90"/>
      <c r="D233" s="24"/>
      <c r="E233" s="24"/>
      <c r="F233" s="24">
        <v>4.4000000000000004</v>
      </c>
      <c r="G233" s="111">
        <f t="shared" si="48"/>
        <v>4.4000000000000004</v>
      </c>
      <c r="H233" s="160" t="e">
        <f t="shared" si="49"/>
        <v>#DIV/0!</v>
      </c>
    </row>
    <row r="234" spans="1:8" ht="24.75" customHeight="1">
      <c r="A234" s="96"/>
      <c r="B234" s="79" t="s">
        <v>164</v>
      </c>
      <c r="C234" s="77"/>
      <c r="D234" s="24"/>
      <c r="E234" s="24"/>
      <c r="F234" s="24">
        <v>0.6</v>
      </c>
      <c r="G234" s="111">
        <f t="shared" si="48"/>
        <v>0.6</v>
      </c>
      <c r="H234" s="160" t="e">
        <f t="shared" si="49"/>
        <v>#DIV/0!</v>
      </c>
    </row>
    <row r="235" spans="1:8" ht="24.75" customHeight="1">
      <c r="A235" s="96"/>
      <c r="B235" s="79" t="s">
        <v>197</v>
      </c>
      <c r="C235" s="77"/>
      <c r="D235" s="24">
        <v>0.9</v>
      </c>
      <c r="E235" s="24"/>
      <c r="F235" s="24"/>
      <c r="G235" s="111">
        <f t="shared" si="48"/>
        <v>0</v>
      </c>
      <c r="H235" s="160" t="e">
        <f t="shared" si="49"/>
        <v>#DIV/0!</v>
      </c>
    </row>
    <row r="236" spans="1:8" ht="24.75" customHeight="1">
      <c r="A236" s="96"/>
      <c r="B236" s="79" t="s">
        <v>180</v>
      </c>
      <c r="C236" s="77"/>
      <c r="D236" s="24">
        <v>0.8</v>
      </c>
      <c r="E236" s="24"/>
      <c r="F236" s="24"/>
      <c r="G236" s="111">
        <f t="shared" si="48"/>
        <v>0</v>
      </c>
      <c r="H236" s="160" t="e">
        <f t="shared" si="49"/>
        <v>#DIV/0!</v>
      </c>
    </row>
    <row r="237" spans="1:8" ht="24.75" customHeight="1">
      <c r="A237" s="96"/>
      <c r="B237" s="102" t="s">
        <v>271</v>
      </c>
      <c r="C237" s="77"/>
      <c r="D237" s="24"/>
      <c r="E237" s="24"/>
      <c r="F237" s="24">
        <v>6.9</v>
      </c>
      <c r="G237" s="111">
        <f t="shared" si="48"/>
        <v>6.9</v>
      </c>
      <c r="H237" s="160" t="e">
        <f t="shared" si="49"/>
        <v>#DIV/0!</v>
      </c>
    </row>
    <row r="238" spans="1:8" ht="24.75" customHeight="1">
      <c r="A238" s="96" t="s">
        <v>363</v>
      </c>
      <c r="B238" s="95" t="s">
        <v>92</v>
      </c>
      <c r="C238" s="90">
        <v>1020</v>
      </c>
      <c r="D238" s="22">
        <f>D239+D242</f>
        <v>5.8000000000000007</v>
      </c>
      <c r="E238" s="22">
        <f>E239+E242</f>
        <v>0</v>
      </c>
      <c r="F238" s="22">
        <f>F239+F242</f>
        <v>47.800000000000004</v>
      </c>
      <c r="G238" s="110">
        <f t="shared" si="48"/>
        <v>47.800000000000004</v>
      </c>
      <c r="H238" s="166" t="e">
        <f t="shared" si="49"/>
        <v>#DIV/0!</v>
      </c>
    </row>
    <row r="239" spans="1:8" ht="24.75" customHeight="1">
      <c r="A239" s="99" t="s">
        <v>364</v>
      </c>
      <c r="B239" s="117" t="s">
        <v>112</v>
      </c>
      <c r="C239" s="118">
        <v>1021</v>
      </c>
      <c r="D239" s="70">
        <f>D240+D241</f>
        <v>1.9</v>
      </c>
      <c r="E239" s="70">
        <f>E240+E241</f>
        <v>0</v>
      </c>
      <c r="F239" s="70">
        <f>F240+F241</f>
        <v>9.5</v>
      </c>
      <c r="G239" s="158">
        <f t="shared" si="48"/>
        <v>9.5</v>
      </c>
      <c r="H239" s="164" t="e">
        <f t="shared" si="49"/>
        <v>#DIV/0!</v>
      </c>
    </row>
    <row r="240" spans="1:8" ht="24.75" customHeight="1">
      <c r="A240" s="96"/>
      <c r="B240" s="102" t="s">
        <v>266</v>
      </c>
      <c r="C240" s="90"/>
      <c r="D240" s="24">
        <v>1.7</v>
      </c>
      <c r="E240" s="24"/>
      <c r="F240" s="24">
        <v>9.1</v>
      </c>
      <c r="G240" s="111">
        <f t="shared" si="48"/>
        <v>9.1</v>
      </c>
      <c r="H240" s="160" t="e">
        <f t="shared" si="49"/>
        <v>#DIV/0!</v>
      </c>
    </row>
    <row r="241" spans="1:8" ht="36" customHeight="1">
      <c r="A241" s="96"/>
      <c r="B241" s="102" t="s">
        <v>252</v>
      </c>
      <c r="C241" s="90"/>
      <c r="D241" s="24">
        <v>0.2</v>
      </c>
      <c r="E241" s="24"/>
      <c r="F241" s="24">
        <v>0.4</v>
      </c>
      <c r="G241" s="111">
        <f t="shared" si="48"/>
        <v>0.4</v>
      </c>
      <c r="H241" s="160" t="e">
        <f t="shared" si="49"/>
        <v>#DIV/0!</v>
      </c>
    </row>
    <row r="242" spans="1:8" ht="24.75" customHeight="1">
      <c r="A242" s="99" t="s">
        <v>365</v>
      </c>
      <c r="B242" s="167" t="s">
        <v>191</v>
      </c>
      <c r="C242" s="162">
        <v>1025</v>
      </c>
      <c r="D242" s="70">
        <f>SUM(D243:D250)</f>
        <v>3.9000000000000004</v>
      </c>
      <c r="E242" s="70">
        <f>SUM(E243:E250)</f>
        <v>0</v>
      </c>
      <c r="F242" s="70">
        <f>SUM(F243:F250)</f>
        <v>38.300000000000004</v>
      </c>
      <c r="G242" s="158">
        <f t="shared" si="48"/>
        <v>38.300000000000004</v>
      </c>
      <c r="H242" s="164" t="e">
        <f t="shared" si="49"/>
        <v>#DIV/0!</v>
      </c>
    </row>
    <row r="243" spans="1:8" ht="24.75" customHeight="1">
      <c r="A243" s="96"/>
      <c r="B243" s="88" t="s">
        <v>164</v>
      </c>
      <c r="C243" s="77"/>
      <c r="D243" s="24">
        <v>0.8</v>
      </c>
      <c r="E243" s="24"/>
      <c r="F243" s="24">
        <v>1.3</v>
      </c>
      <c r="G243" s="111">
        <f t="shared" si="48"/>
        <v>1.3</v>
      </c>
      <c r="H243" s="160" t="e">
        <f t="shared" si="49"/>
        <v>#DIV/0!</v>
      </c>
    </row>
    <row r="244" spans="1:8" ht="24.75" customHeight="1">
      <c r="A244" s="96"/>
      <c r="B244" s="79" t="s">
        <v>197</v>
      </c>
      <c r="C244" s="77"/>
      <c r="D244" s="24">
        <v>2.1</v>
      </c>
      <c r="E244" s="24"/>
      <c r="F244" s="24"/>
      <c r="G244" s="111">
        <f t="shared" si="48"/>
        <v>0</v>
      </c>
      <c r="H244" s="160" t="e">
        <f t="shared" si="49"/>
        <v>#DIV/0!</v>
      </c>
    </row>
    <row r="245" spans="1:8" ht="40.5" customHeight="1">
      <c r="A245" s="96"/>
      <c r="B245" s="79" t="s">
        <v>267</v>
      </c>
      <c r="C245" s="80"/>
      <c r="D245" s="24">
        <v>0.8</v>
      </c>
      <c r="E245" s="24"/>
      <c r="F245" s="24">
        <v>8.4</v>
      </c>
      <c r="G245" s="111">
        <f t="shared" si="48"/>
        <v>8.4</v>
      </c>
      <c r="H245" s="160" t="e">
        <f t="shared" si="49"/>
        <v>#DIV/0!</v>
      </c>
    </row>
    <row r="246" spans="1:8" ht="27.75" customHeight="1">
      <c r="A246" s="96"/>
      <c r="B246" s="79" t="s">
        <v>185</v>
      </c>
      <c r="C246" s="80"/>
      <c r="D246" s="24"/>
      <c r="E246" s="24"/>
      <c r="F246" s="24">
        <v>1</v>
      </c>
      <c r="G246" s="111">
        <f t="shared" si="48"/>
        <v>1</v>
      </c>
      <c r="H246" s="160" t="e">
        <f t="shared" si="49"/>
        <v>#DIV/0!</v>
      </c>
    </row>
    <row r="247" spans="1:8" ht="24" customHeight="1">
      <c r="A247" s="96"/>
      <c r="B247" s="79" t="s">
        <v>233</v>
      </c>
      <c r="C247" s="80"/>
      <c r="D247" s="24">
        <v>0.2</v>
      </c>
      <c r="E247" s="24"/>
      <c r="F247" s="24">
        <v>0.3</v>
      </c>
      <c r="G247" s="111">
        <f t="shared" si="48"/>
        <v>0.3</v>
      </c>
      <c r="H247" s="160" t="e">
        <f t="shared" si="49"/>
        <v>#DIV/0!</v>
      </c>
    </row>
    <row r="248" spans="1:8" ht="28.5" customHeight="1">
      <c r="A248" s="96"/>
      <c r="B248" s="79" t="s">
        <v>273</v>
      </c>
      <c r="C248" s="80"/>
      <c r="D248" s="24"/>
      <c r="E248" s="24"/>
      <c r="F248" s="24">
        <v>3.3</v>
      </c>
      <c r="G248" s="111">
        <f t="shared" si="48"/>
        <v>3.3</v>
      </c>
      <c r="H248" s="160" t="e">
        <f t="shared" si="49"/>
        <v>#DIV/0!</v>
      </c>
    </row>
    <row r="249" spans="1:8" ht="28.5" customHeight="1">
      <c r="A249" s="96"/>
      <c r="B249" s="79" t="s">
        <v>282</v>
      </c>
      <c r="C249" s="80"/>
      <c r="D249" s="24"/>
      <c r="E249" s="24"/>
      <c r="F249" s="24">
        <v>0.4</v>
      </c>
      <c r="G249" s="111">
        <f t="shared" si="48"/>
        <v>0.4</v>
      </c>
      <c r="H249" s="160" t="e">
        <f t="shared" si="49"/>
        <v>#DIV/0!</v>
      </c>
    </row>
    <row r="250" spans="1:8" ht="22.5" customHeight="1">
      <c r="A250" s="96"/>
      <c r="B250" s="79" t="s">
        <v>272</v>
      </c>
      <c r="C250" s="80"/>
      <c r="D250" s="24"/>
      <c r="E250" s="24"/>
      <c r="F250" s="24">
        <v>23.6</v>
      </c>
      <c r="G250" s="111">
        <f t="shared" si="48"/>
        <v>23.6</v>
      </c>
      <c r="H250" s="160" t="e">
        <f t="shared" si="49"/>
        <v>#DIV/0!</v>
      </c>
    </row>
    <row r="251" spans="1:8" ht="22.5" customHeight="1">
      <c r="A251" s="96" t="s">
        <v>274</v>
      </c>
      <c r="B251" s="100" t="s">
        <v>305</v>
      </c>
      <c r="C251" s="90"/>
      <c r="D251" s="22">
        <f>D253</f>
        <v>1.9</v>
      </c>
      <c r="E251" s="24"/>
      <c r="F251" s="24"/>
      <c r="G251" s="111">
        <f t="shared" si="48"/>
        <v>0</v>
      </c>
      <c r="H251" s="160" t="e">
        <f t="shared" si="49"/>
        <v>#DIV/0!</v>
      </c>
    </row>
    <row r="252" spans="1:8" ht="22.5" customHeight="1">
      <c r="A252" s="96"/>
      <c r="B252" s="97" t="s">
        <v>86</v>
      </c>
      <c r="C252" s="90"/>
      <c r="D252" s="22"/>
      <c r="E252" s="24"/>
      <c r="F252" s="24"/>
      <c r="G252" s="111">
        <f t="shared" si="48"/>
        <v>0</v>
      </c>
      <c r="H252" s="160" t="e">
        <f t="shared" si="49"/>
        <v>#DIV/0!</v>
      </c>
    </row>
    <row r="253" spans="1:8" ht="22.5" customHeight="1">
      <c r="A253" s="96" t="s">
        <v>366</v>
      </c>
      <c r="B253" s="95" t="s">
        <v>93</v>
      </c>
      <c r="C253" s="90">
        <v>1030</v>
      </c>
      <c r="D253" s="22">
        <f>D254</f>
        <v>1.9</v>
      </c>
      <c r="E253" s="22"/>
      <c r="F253" s="22"/>
      <c r="G253" s="110">
        <f t="shared" si="48"/>
        <v>0</v>
      </c>
      <c r="H253" s="166" t="e">
        <f t="shared" si="49"/>
        <v>#DIV/0!</v>
      </c>
    </row>
    <row r="254" spans="1:8" ht="22.5" customHeight="1">
      <c r="A254" s="99" t="s">
        <v>367</v>
      </c>
      <c r="B254" s="117" t="s">
        <v>93</v>
      </c>
      <c r="C254" s="162">
        <v>1035</v>
      </c>
      <c r="D254" s="70">
        <f>D255</f>
        <v>1.9</v>
      </c>
      <c r="E254" s="22"/>
      <c r="F254" s="22"/>
      <c r="G254" s="110">
        <f t="shared" si="48"/>
        <v>0</v>
      </c>
      <c r="H254" s="166" t="e">
        <f t="shared" si="49"/>
        <v>#DIV/0!</v>
      </c>
    </row>
    <row r="255" spans="1:8" ht="22.5" customHeight="1">
      <c r="A255" s="119"/>
      <c r="B255" s="102" t="s">
        <v>306</v>
      </c>
      <c r="C255" s="127"/>
      <c r="D255" s="24">
        <v>1.9</v>
      </c>
      <c r="E255" s="24"/>
      <c r="F255" s="24"/>
      <c r="G255" s="111">
        <f t="shared" si="48"/>
        <v>0</v>
      </c>
      <c r="H255" s="160" t="e">
        <f t="shared" si="49"/>
        <v>#DIV/0!</v>
      </c>
    </row>
    <row r="256" spans="1:8" ht="24.75" customHeight="1">
      <c r="A256" s="96" t="s">
        <v>368</v>
      </c>
      <c r="B256" s="100" t="s">
        <v>275</v>
      </c>
      <c r="C256" s="77"/>
      <c r="D256" s="22">
        <f>D258+D261</f>
        <v>416</v>
      </c>
      <c r="E256" s="22">
        <f>E258+E261</f>
        <v>0</v>
      </c>
      <c r="F256" s="22">
        <f>F258+F261</f>
        <v>724.1</v>
      </c>
      <c r="G256" s="111">
        <f t="shared" si="48"/>
        <v>724.1</v>
      </c>
      <c r="H256" s="160" t="e">
        <f t="shared" si="49"/>
        <v>#DIV/0!</v>
      </c>
    </row>
    <row r="257" spans="1:17" ht="24.75" customHeight="1">
      <c r="A257" s="96"/>
      <c r="B257" s="97" t="s">
        <v>86</v>
      </c>
      <c r="C257" s="77"/>
      <c r="D257" s="24"/>
      <c r="E257" s="24"/>
      <c r="F257" s="24"/>
      <c r="G257" s="111">
        <f t="shared" si="48"/>
        <v>0</v>
      </c>
      <c r="H257" s="160" t="e">
        <f t="shared" si="49"/>
        <v>#DIV/0!</v>
      </c>
    </row>
    <row r="258" spans="1:17" ht="24.75" customHeight="1">
      <c r="A258" s="96" t="s">
        <v>368</v>
      </c>
      <c r="B258" s="100" t="s">
        <v>90</v>
      </c>
      <c r="C258" s="77">
        <v>1010</v>
      </c>
      <c r="D258" s="22">
        <f t="shared" ref="D258:F259" si="50">D259</f>
        <v>362.8</v>
      </c>
      <c r="E258" s="22">
        <f t="shared" si="50"/>
        <v>0</v>
      </c>
      <c r="F258" s="22">
        <f t="shared" si="50"/>
        <v>280</v>
      </c>
      <c r="G258" s="110">
        <f t="shared" si="48"/>
        <v>280</v>
      </c>
      <c r="H258" s="166" t="e">
        <f t="shared" si="49"/>
        <v>#DIV/0!</v>
      </c>
      <c r="I258" s="134"/>
    </row>
    <row r="259" spans="1:17" ht="24.75" customHeight="1">
      <c r="A259" s="99" t="s">
        <v>369</v>
      </c>
      <c r="B259" s="157" t="s">
        <v>4</v>
      </c>
      <c r="C259" s="162">
        <v>1014</v>
      </c>
      <c r="D259" s="70">
        <f t="shared" si="50"/>
        <v>362.8</v>
      </c>
      <c r="E259" s="70">
        <f t="shared" si="50"/>
        <v>0</v>
      </c>
      <c r="F259" s="70">
        <f t="shared" si="50"/>
        <v>280</v>
      </c>
      <c r="G259" s="158">
        <f t="shared" si="48"/>
        <v>280</v>
      </c>
      <c r="H259" s="164" t="e">
        <f t="shared" si="49"/>
        <v>#DIV/0!</v>
      </c>
    </row>
    <row r="260" spans="1:17" ht="24.75" customHeight="1">
      <c r="A260" s="96"/>
      <c r="B260" s="102" t="s">
        <v>276</v>
      </c>
      <c r="C260" s="77"/>
      <c r="D260" s="24">
        <v>362.8</v>
      </c>
      <c r="E260" s="24"/>
      <c r="F260" s="24">
        <f>313-33</f>
        <v>280</v>
      </c>
      <c r="G260" s="111">
        <f t="shared" si="48"/>
        <v>280</v>
      </c>
      <c r="H260" s="160" t="e">
        <f t="shared" si="49"/>
        <v>#DIV/0!</v>
      </c>
    </row>
    <row r="261" spans="1:17" ht="24.75" customHeight="1">
      <c r="A261" s="96" t="s">
        <v>370</v>
      </c>
      <c r="B261" s="100" t="s">
        <v>92</v>
      </c>
      <c r="C261" s="77">
        <v>1020</v>
      </c>
      <c r="D261" s="22">
        <f>D262</f>
        <v>53.2</v>
      </c>
      <c r="E261" s="22"/>
      <c r="F261" s="22">
        <f>F262</f>
        <v>444.1</v>
      </c>
      <c r="G261" s="110">
        <f t="shared" si="48"/>
        <v>444.1</v>
      </c>
      <c r="H261" s="166" t="e">
        <f t="shared" si="49"/>
        <v>#DIV/0!</v>
      </c>
    </row>
    <row r="262" spans="1:17" ht="24.75" customHeight="1">
      <c r="A262" s="99" t="s">
        <v>371</v>
      </c>
      <c r="B262" s="157" t="s">
        <v>4</v>
      </c>
      <c r="C262" s="162">
        <v>1024</v>
      </c>
      <c r="D262" s="70">
        <v>53.2</v>
      </c>
      <c r="E262" s="70"/>
      <c r="F262" s="70">
        <f>411.1+33</f>
        <v>444.1</v>
      </c>
      <c r="G262" s="158">
        <f t="shared" si="48"/>
        <v>444.1</v>
      </c>
      <c r="H262" s="164" t="e">
        <f t="shared" si="49"/>
        <v>#DIV/0!</v>
      </c>
    </row>
    <row r="263" spans="1:17" ht="44.25" customHeight="1">
      <c r="B263" s="112"/>
      <c r="D263" s="172"/>
      <c r="E263" s="113"/>
      <c r="F263" s="113"/>
    </row>
    <row r="264" spans="1:17" ht="34.5" customHeight="1">
      <c r="B264" s="156" t="s">
        <v>317</v>
      </c>
      <c r="C264" s="31"/>
      <c r="D264" s="223"/>
      <c r="E264" s="223"/>
      <c r="F264" s="216" t="s">
        <v>234</v>
      </c>
      <c r="G264" s="216"/>
      <c r="H264" s="216"/>
    </row>
    <row r="265" spans="1:17" ht="34.5" customHeight="1">
      <c r="B265" s="175" t="s">
        <v>60</v>
      </c>
      <c r="C265" s="33"/>
      <c r="D265" s="220" t="s">
        <v>66</v>
      </c>
      <c r="E265" s="220"/>
      <c r="F265" s="217" t="s">
        <v>17</v>
      </c>
      <c r="G265" s="217"/>
      <c r="H265" s="217"/>
    </row>
    <row r="266" spans="1:17" ht="29.25" customHeight="1">
      <c r="B266" s="112"/>
      <c r="D266" s="172"/>
      <c r="E266" s="113"/>
      <c r="F266" s="113"/>
    </row>
    <row r="267" spans="1:17" ht="35.25" customHeight="1">
      <c r="B267" s="112"/>
      <c r="D267" s="172"/>
      <c r="E267" s="113"/>
      <c r="F267" s="113"/>
    </row>
    <row r="268" spans="1:17" ht="35.25" customHeight="1">
      <c r="B268" s="112"/>
      <c r="D268" s="172"/>
      <c r="E268" s="113"/>
      <c r="F268" s="113"/>
    </row>
    <row r="269" spans="1:17" s="114" customFormat="1" ht="39" customHeight="1">
      <c r="A269" s="33"/>
      <c r="B269" s="112"/>
      <c r="C269" s="175"/>
      <c r="D269" s="172"/>
      <c r="E269" s="113"/>
      <c r="F269" s="113"/>
      <c r="G269" s="33"/>
      <c r="H269" s="33"/>
      <c r="O269" s="130"/>
      <c r="P269" s="130"/>
      <c r="Q269" s="130"/>
    </row>
    <row r="270" spans="1:17" s="114" customFormat="1" ht="32.25" customHeight="1">
      <c r="A270" s="33"/>
      <c r="B270" s="112"/>
      <c r="C270" s="175"/>
      <c r="D270" s="172"/>
      <c r="E270" s="113"/>
      <c r="F270" s="113"/>
      <c r="G270" s="33"/>
      <c r="H270" s="33"/>
      <c r="O270" s="130"/>
      <c r="P270" s="130"/>
      <c r="Q270" s="130"/>
    </row>
    <row r="271" spans="1:17" s="114" customFormat="1" ht="31.5" customHeight="1">
      <c r="A271" s="33"/>
      <c r="B271" s="112"/>
      <c r="C271" s="175"/>
      <c r="D271" s="172"/>
      <c r="E271" s="113"/>
      <c r="F271" s="113"/>
      <c r="G271" s="33"/>
      <c r="H271" s="33"/>
      <c r="O271" s="130"/>
      <c r="P271" s="130"/>
      <c r="Q271" s="130"/>
    </row>
    <row r="272" spans="1:17" s="114" customFormat="1" ht="31.5" customHeight="1">
      <c r="A272" s="33"/>
      <c r="B272" s="112"/>
      <c r="C272" s="175"/>
      <c r="D272" s="172"/>
      <c r="E272" s="113"/>
      <c r="F272" s="113"/>
      <c r="G272" s="33"/>
      <c r="H272" s="33"/>
      <c r="O272" s="130"/>
      <c r="P272" s="130"/>
      <c r="Q272" s="130"/>
    </row>
    <row r="273" spans="1:17" s="114" customFormat="1" ht="29.25" customHeight="1">
      <c r="A273" s="33"/>
      <c r="B273" s="112"/>
      <c r="C273" s="175"/>
      <c r="D273" s="172"/>
      <c r="E273" s="113"/>
      <c r="F273" s="113"/>
      <c r="G273" s="33"/>
      <c r="H273" s="33"/>
      <c r="O273" s="130"/>
      <c r="P273" s="130"/>
      <c r="Q273" s="130"/>
    </row>
    <row r="274" spans="1:17" s="114" customFormat="1" ht="35.25" customHeight="1">
      <c r="A274" s="33"/>
      <c r="B274" s="112"/>
      <c r="C274" s="175"/>
      <c r="D274" s="172"/>
      <c r="E274" s="113"/>
      <c r="F274" s="113"/>
      <c r="G274" s="33"/>
      <c r="H274" s="33"/>
      <c r="O274" s="130"/>
      <c r="P274" s="130"/>
      <c r="Q274" s="130"/>
    </row>
    <row r="275" spans="1:17" s="114" customFormat="1" ht="41.25" customHeight="1">
      <c r="A275" s="33"/>
      <c r="B275" s="112"/>
      <c r="C275" s="175"/>
      <c r="D275" s="172"/>
      <c r="E275" s="113"/>
      <c r="F275" s="113"/>
      <c r="G275" s="33"/>
      <c r="H275" s="33"/>
      <c r="O275" s="130"/>
      <c r="P275" s="130"/>
      <c r="Q275" s="130"/>
    </row>
    <row r="276" spans="1:17" s="114" customFormat="1" ht="35.25" customHeight="1">
      <c r="A276" s="33"/>
      <c r="B276" s="112"/>
      <c r="C276" s="175"/>
      <c r="D276" s="172"/>
      <c r="E276" s="113"/>
      <c r="F276" s="113"/>
      <c r="G276" s="33"/>
      <c r="H276" s="33"/>
      <c r="O276" s="130"/>
      <c r="P276" s="130"/>
      <c r="Q276" s="130"/>
    </row>
    <row r="277" spans="1:17" s="114" customFormat="1" ht="41.25" customHeight="1">
      <c r="A277" s="33"/>
      <c r="B277" s="112"/>
      <c r="C277" s="175"/>
      <c r="D277" s="172"/>
      <c r="E277" s="113"/>
      <c r="F277" s="113"/>
      <c r="G277" s="33"/>
      <c r="H277" s="33"/>
      <c r="O277" s="130"/>
      <c r="P277" s="130"/>
      <c r="Q277" s="130"/>
    </row>
    <row r="278" spans="1:17" s="114" customFormat="1" ht="37.5" customHeight="1">
      <c r="A278" s="33"/>
      <c r="B278" s="112"/>
      <c r="C278" s="175"/>
      <c r="D278" s="172"/>
      <c r="E278" s="113"/>
      <c r="F278" s="113"/>
      <c r="G278" s="33"/>
      <c r="H278" s="33"/>
      <c r="O278" s="130"/>
      <c r="P278" s="130"/>
      <c r="Q278" s="130"/>
    </row>
    <row r="279" spans="1:17" s="114" customFormat="1" ht="37.5" customHeight="1">
      <c r="A279" s="33"/>
      <c r="B279" s="112"/>
      <c r="C279" s="175"/>
      <c r="D279" s="172"/>
      <c r="E279" s="113"/>
      <c r="F279" s="113"/>
      <c r="G279" s="33"/>
      <c r="H279" s="33"/>
      <c r="O279" s="130"/>
      <c r="P279" s="130"/>
      <c r="Q279" s="130"/>
    </row>
    <row r="280" spans="1:17" s="114" customFormat="1" ht="39" customHeight="1">
      <c r="A280" s="33"/>
      <c r="B280" s="112"/>
      <c r="C280" s="175"/>
      <c r="D280" s="172"/>
      <c r="E280" s="113"/>
      <c r="F280" s="113"/>
      <c r="G280" s="33"/>
      <c r="H280" s="33"/>
      <c r="O280" s="130"/>
      <c r="P280" s="130"/>
      <c r="Q280" s="130"/>
    </row>
    <row r="281" spans="1:17" s="114" customFormat="1" ht="35.25" customHeight="1">
      <c r="A281" s="33"/>
      <c r="B281" s="112"/>
      <c r="C281" s="175"/>
      <c r="D281" s="172"/>
      <c r="E281" s="113"/>
      <c r="F281" s="113"/>
      <c r="G281" s="33"/>
      <c r="H281" s="33"/>
      <c r="O281" s="130"/>
      <c r="P281" s="130"/>
      <c r="Q281" s="130"/>
    </row>
    <row r="282" spans="1:17" s="114" customFormat="1" ht="37.5" customHeight="1">
      <c r="A282" s="33"/>
      <c r="B282" s="112"/>
      <c r="C282" s="175"/>
      <c r="D282" s="172"/>
      <c r="E282" s="113"/>
      <c r="F282" s="113"/>
      <c r="G282" s="33"/>
      <c r="H282" s="33"/>
      <c r="O282" s="130"/>
      <c r="P282" s="130"/>
      <c r="Q282" s="130"/>
    </row>
    <row r="283" spans="1:17" s="114" customFormat="1" ht="31.5" customHeight="1">
      <c r="A283" s="33"/>
      <c r="B283" s="112"/>
      <c r="C283" s="175"/>
      <c r="D283" s="172"/>
      <c r="E283" s="113"/>
      <c r="F283" s="113"/>
      <c r="G283" s="33"/>
      <c r="H283" s="33"/>
      <c r="O283" s="130"/>
      <c r="P283" s="130"/>
      <c r="Q283" s="130"/>
    </row>
    <row r="284" spans="1:17" s="114" customFormat="1" ht="31.5" customHeight="1">
      <c r="A284" s="33"/>
      <c r="B284" s="112"/>
      <c r="C284" s="175"/>
      <c r="D284" s="172"/>
      <c r="E284" s="113"/>
      <c r="F284" s="113"/>
      <c r="G284" s="33"/>
      <c r="H284" s="33"/>
      <c r="O284" s="130"/>
      <c r="P284" s="130"/>
      <c r="Q284" s="130"/>
    </row>
    <row r="285" spans="1:17">
      <c r="B285" s="112"/>
      <c r="D285" s="172"/>
      <c r="E285" s="113"/>
      <c r="F285" s="113"/>
    </row>
    <row r="286" spans="1:17" ht="24.75" customHeight="1">
      <c r="B286" s="112"/>
      <c r="D286" s="172"/>
      <c r="E286" s="113"/>
      <c r="F286" s="113"/>
    </row>
    <row r="287" spans="1:17">
      <c r="B287" s="112"/>
      <c r="D287" s="172"/>
      <c r="E287" s="113"/>
      <c r="F287" s="113"/>
    </row>
    <row r="288" spans="1:17">
      <c r="B288" s="112"/>
      <c r="D288" s="172"/>
      <c r="E288" s="113"/>
      <c r="F288" s="113"/>
    </row>
    <row r="289" spans="2:6">
      <c r="B289" s="112"/>
      <c r="D289" s="172"/>
      <c r="E289" s="113"/>
      <c r="F289" s="113"/>
    </row>
    <row r="290" spans="2:6">
      <c r="B290" s="112"/>
      <c r="D290" s="172"/>
      <c r="E290" s="113"/>
      <c r="F290" s="113"/>
    </row>
    <row r="291" spans="2:6">
      <c r="B291" s="112"/>
      <c r="D291" s="172"/>
      <c r="E291" s="113"/>
      <c r="F291" s="113"/>
    </row>
    <row r="292" spans="2:6">
      <c r="B292" s="112"/>
      <c r="D292" s="172"/>
      <c r="E292" s="113"/>
      <c r="F292" s="113"/>
    </row>
    <row r="293" spans="2:6">
      <c r="B293" s="112"/>
      <c r="D293" s="172"/>
      <c r="E293" s="113"/>
      <c r="F293" s="113"/>
    </row>
    <row r="294" spans="2:6">
      <c r="B294" s="112"/>
      <c r="D294" s="172"/>
      <c r="E294" s="113"/>
      <c r="F294" s="113"/>
    </row>
    <row r="295" spans="2:6">
      <c r="B295" s="112"/>
      <c r="D295" s="172"/>
      <c r="E295" s="113"/>
      <c r="F295" s="113"/>
    </row>
    <row r="296" spans="2:6">
      <c r="B296" s="112"/>
      <c r="D296" s="172"/>
      <c r="E296" s="113"/>
      <c r="F296" s="113"/>
    </row>
    <row r="297" spans="2:6">
      <c r="B297" s="112"/>
      <c r="D297" s="172"/>
      <c r="E297" s="113"/>
      <c r="F297" s="113"/>
    </row>
    <row r="298" spans="2:6">
      <c r="B298" s="112"/>
      <c r="D298" s="172"/>
      <c r="E298" s="113"/>
      <c r="F298" s="113"/>
    </row>
    <row r="299" spans="2:6">
      <c r="B299" s="112"/>
      <c r="D299" s="172"/>
      <c r="E299" s="113"/>
      <c r="F299" s="113"/>
    </row>
    <row r="300" spans="2:6">
      <c r="B300" s="112"/>
      <c r="D300" s="172"/>
      <c r="E300" s="113"/>
      <c r="F300" s="113"/>
    </row>
    <row r="301" spans="2:6">
      <c r="B301" s="112"/>
      <c r="D301" s="172"/>
      <c r="E301" s="113"/>
      <c r="F301" s="113"/>
    </row>
    <row r="302" spans="2:6">
      <c r="B302" s="112"/>
      <c r="D302" s="172"/>
      <c r="E302" s="113"/>
      <c r="F302" s="113"/>
    </row>
    <row r="303" spans="2:6">
      <c r="B303" s="112"/>
      <c r="D303" s="172"/>
      <c r="E303" s="113"/>
      <c r="F303" s="113"/>
    </row>
    <row r="304" spans="2:6">
      <c r="B304" s="112"/>
      <c r="D304" s="172"/>
      <c r="E304" s="113"/>
      <c r="F304" s="113"/>
    </row>
    <row r="305" spans="2:6">
      <c r="B305" s="112"/>
      <c r="D305" s="172"/>
      <c r="E305" s="113"/>
      <c r="F305" s="113"/>
    </row>
    <row r="306" spans="2:6">
      <c r="B306" s="112"/>
      <c r="D306" s="172"/>
      <c r="E306" s="113"/>
      <c r="F306" s="113"/>
    </row>
    <row r="307" spans="2:6">
      <c r="B307" s="112"/>
      <c r="D307" s="172"/>
      <c r="E307" s="113"/>
      <c r="F307" s="113"/>
    </row>
    <row r="308" spans="2:6">
      <c r="B308" s="112"/>
      <c r="D308" s="172"/>
      <c r="E308" s="113"/>
      <c r="F308" s="113"/>
    </row>
    <row r="309" spans="2:6">
      <c r="B309" s="112"/>
      <c r="D309" s="172"/>
      <c r="E309" s="113"/>
      <c r="F309" s="113"/>
    </row>
    <row r="310" spans="2:6">
      <c r="B310" s="112"/>
      <c r="D310" s="172"/>
      <c r="E310" s="113"/>
      <c r="F310" s="113"/>
    </row>
    <row r="311" spans="2:6">
      <c r="B311" s="112"/>
      <c r="D311" s="172"/>
      <c r="E311" s="113"/>
      <c r="F311" s="113"/>
    </row>
    <row r="312" spans="2:6">
      <c r="B312" s="112"/>
      <c r="D312" s="172"/>
      <c r="E312" s="113"/>
      <c r="F312" s="113"/>
    </row>
    <row r="313" spans="2:6">
      <c r="B313" s="112"/>
      <c r="D313" s="172"/>
      <c r="E313" s="113"/>
      <c r="F313" s="113"/>
    </row>
    <row r="314" spans="2:6">
      <c r="B314" s="112"/>
      <c r="D314" s="172"/>
      <c r="E314" s="113"/>
      <c r="F314" s="113"/>
    </row>
    <row r="315" spans="2:6">
      <c r="B315" s="112"/>
      <c r="D315" s="172"/>
      <c r="E315" s="113"/>
      <c r="F315" s="113"/>
    </row>
    <row r="316" spans="2:6">
      <c r="B316" s="112"/>
      <c r="D316" s="172"/>
      <c r="E316" s="113"/>
      <c r="F316" s="113"/>
    </row>
    <row r="317" spans="2:6">
      <c r="B317" s="112"/>
      <c r="D317" s="172"/>
      <c r="E317" s="113"/>
      <c r="F317" s="113"/>
    </row>
    <row r="318" spans="2:6">
      <c r="B318" s="112"/>
      <c r="D318" s="172"/>
      <c r="E318" s="113"/>
      <c r="F318" s="113"/>
    </row>
    <row r="319" spans="2:6">
      <c r="B319" s="112"/>
      <c r="D319" s="172"/>
      <c r="E319" s="113"/>
      <c r="F319" s="113"/>
    </row>
    <row r="320" spans="2:6">
      <c r="B320" s="112"/>
    </row>
    <row r="321" spans="2:2">
      <c r="B321" s="131"/>
    </row>
    <row r="322" spans="2:2">
      <c r="B322" s="131"/>
    </row>
    <row r="323" spans="2:2">
      <c r="B323" s="131"/>
    </row>
    <row r="324" spans="2:2">
      <c r="B324" s="131"/>
    </row>
    <row r="325" spans="2:2">
      <c r="B325" s="131"/>
    </row>
    <row r="326" spans="2:2">
      <c r="B326" s="131"/>
    </row>
    <row r="327" spans="2:2">
      <c r="B327" s="131"/>
    </row>
    <row r="328" spans="2:2">
      <c r="B328" s="131"/>
    </row>
    <row r="329" spans="2:2">
      <c r="B329" s="131"/>
    </row>
    <row r="330" spans="2:2">
      <c r="B330" s="131"/>
    </row>
    <row r="331" spans="2:2">
      <c r="B331" s="131"/>
    </row>
    <row r="332" spans="2:2">
      <c r="B332" s="131"/>
    </row>
    <row r="333" spans="2:2">
      <c r="B333" s="131"/>
    </row>
    <row r="334" spans="2:2">
      <c r="B334" s="131"/>
    </row>
    <row r="335" spans="2:2">
      <c r="B335" s="131"/>
    </row>
    <row r="336" spans="2:2">
      <c r="B336" s="131"/>
    </row>
    <row r="337" spans="2:2">
      <c r="B337" s="131"/>
    </row>
    <row r="338" spans="2:2">
      <c r="B338" s="131"/>
    </row>
    <row r="339" spans="2:2">
      <c r="B339" s="131"/>
    </row>
    <row r="340" spans="2:2">
      <c r="B340" s="131"/>
    </row>
    <row r="341" spans="2:2">
      <c r="B341" s="131"/>
    </row>
    <row r="342" spans="2:2">
      <c r="B342" s="131"/>
    </row>
    <row r="343" spans="2:2">
      <c r="B343" s="131"/>
    </row>
    <row r="344" spans="2:2">
      <c r="B344" s="131"/>
    </row>
    <row r="345" spans="2:2">
      <c r="B345" s="131"/>
    </row>
    <row r="346" spans="2:2">
      <c r="B346" s="131"/>
    </row>
    <row r="347" spans="2:2">
      <c r="B347" s="131"/>
    </row>
    <row r="348" spans="2:2">
      <c r="B348" s="131"/>
    </row>
    <row r="349" spans="2:2">
      <c r="B349" s="131"/>
    </row>
    <row r="350" spans="2:2">
      <c r="B350" s="131"/>
    </row>
    <row r="351" spans="2:2">
      <c r="B351" s="131"/>
    </row>
    <row r="352" spans="2:2">
      <c r="B352" s="131"/>
    </row>
    <row r="353" spans="2:2">
      <c r="B353" s="131"/>
    </row>
    <row r="354" spans="2:2">
      <c r="B354" s="131"/>
    </row>
    <row r="355" spans="2:2">
      <c r="B355" s="131"/>
    </row>
    <row r="356" spans="2:2">
      <c r="B356" s="131"/>
    </row>
    <row r="357" spans="2:2">
      <c r="B357" s="131"/>
    </row>
    <row r="358" spans="2:2">
      <c r="B358" s="131"/>
    </row>
    <row r="359" spans="2:2">
      <c r="B359" s="131"/>
    </row>
    <row r="360" spans="2:2">
      <c r="B360" s="131"/>
    </row>
    <row r="361" spans="2:2">
      <c r="B361" s="131"/>
    </row>
    <row r="362" spans="2:2">
      <c r="B362" s="131"/>
    </row>
    <row r="363" spans="2:2">
      <c r="B363" s="131"/>
    </row>
    <row r="364" spans="2:2">
      <c r="B364" s="131"/>
    </row>
    <row r="365" spans="2:2">
      <c r="B365" s="131"/>
    </row>
    <row r="366" spans="2:2">
      <c r="B366" s="131"/>
    </row>
    <row r="367" spans="2:2">
      <c r="B367" s="131"/>
    </row>
    <row r="368" spans="2:2">
      <c r="B368" s="131"/>
    </row>
    <row r="369" spans="2:2">
      <c r="B369" s="131"/>
    </row>
    <row r="370" spans="2:2">
      <c r="B370" s="131"/>
    </row>
    <row r="371" spans="2:2">
      <c r="B371" s="131"/>
    </row>
    <row r="372" spans="2:2">
      <c r="B372" s="131"/>
    </row>
    <row r="373" spans="2:2">
      <c r="B373" s="131"/>
    </row>
    <row r="374" spans="2:2">
      <c r="B374" s="131"/>
    </row>
    <row r="375" spans="2:2">
      <c r="B375" s="131"/>
    </row>
    <row r="376" spans="2:2">
      <c r="B376" s="131"/>
    </row>
    <row r="377" spans="2:2">
      <c r="B377" s="131"/>
    </row>
    <row r="378" spans="2:2">
      <c r="B378" s="131"/>
    </row>
    <row r="379" spans="2:2">
      <c r="B379" s="131"/>
    </row>
    <row r="380" spans="2:2">
      <c r="B380" s="131"/>
    </row>
    <row r="381" spans="2:2">
      <c r="B381" s="131"/>
    </row>
    <row r="382" spans="2:2">
      <c r="B382" s="131"/>
    </row>
    <row r="383" spans="2:2">
      <c r="B383" s="131"/>
    </row>
    <row r="384" spans="2:2">
      <c r="B384" s="131"/>
    </row>
    <row r="385" spans="2:2">
      <c r="B385" s="131"/>
    </row>
    <row r="386" spans="2:2">
      <c r="B386" s="131"/>
    </row>
    <row r="387" spans="2:2">
      <c r="B387" s="131"/>
    </row>
    <row r="388" spans="2:2">
      <c r="B388" s="131"/>
    </row>
    <row r="389" spans="2:2">
      <c r="B389" s="131"/>
    </row>
    <row r="390" spans="2:2">
      <c r="B390" s="131"/>
    </row>
    <row r="391" spans="2:2">
      <c r="B391" s="131"/>
    </row>
    <row r="392" spans="2:2">
      <c r="B392" s="131"/>
    </row>
    <row r="393" spans="2:2">
      <c r="B393" s="131"/>
    </row>
    <row r="394" spans="2:2">
      <c r="B394" s="131"/>
    </row>
    <row r="395" spans="2:2">
      <c r="B395" s="131"/>
    </row>
    <row r="396" spans="2:2">
      <c r="B396" s="131"/>
    </row>
    <row r="397" spans="2:2">
      <c r="B397" s="131"/>
    </row>
    <row r="398" spans="2:2">
      <c r="B398" s="131"/>
    </row>
    <row r="399" spans="2:2">
      <c r="B399" s="131"/>
    </row>
    <row r="400" spans="2:2">
      <c r="B400" s="131"/>
    </row>
    <row r="401" spans="2:2">
      <c r="B401" s="131"/>
    </row>
    <row r="402" spans="2:2">
      <c r="B402" s="131"/>
    </row>
    <row r="403" spans="2:2">
      <c r="B403" s="131"/>
    </row>
    <row r="404" spans="2:2">
      <c r="B404" s="131"/>
    </row>
    <row r="405" spans="2:2">
      <c r="B405" s="131"/>
    </row>
    <row r="406" spans="2:2">
      <c r="B406" s="131"/>
    </row>
    <row r="407" spans="2:2">
      <c r="B407" s="131"/>
    </row>
    <row r="408" spans="2:2">
      <c r="B408" s="131"/>
    </row>
    <row r="409" spans="2:2">
      <c r="B409" s="131"/>
    </row>
    <row r="410" spans="2:2">
      <c r="B410" s="131"/>
    </row>
    <row r="411" spans="2:2">
      <c r="B411" s="131"/>
    </row>
    <row r="412" spans="2:2">
      <c r="B412" s="131"/>
    </row>
    <row r="413" spans="2:2">
      <c r="B413" s="131"/>
    </row>
    <row r="414" spans="2:2">
      <c r="B414" s="131"/>
    </row>
    <row r="415" spans="2:2">
      <c r="B415" s="131"/>
    </row>
    <row r="416" spans="2:2">
      <c r="B416" s="131"/>
    </row>
    <row r="417" spans="2:2">
      <c r="B417" s="131"/>
    </row>
    <row r="418" spans="2:2">
      <c r="B418" s="131"/>
    </row>
    <row r="419" spans="2:2">
      <c r="B419" s="131"/>
    </row>
    <row r="420" spans="2:2">
      <c r="B420" s="131"/>
    </row>
    <row r="421" spans="2:2">
      <c r="B421" s="131"/>
    </row>
    <row r="422" spans="2:2">
      <c r="B422" s="131"/>
    </row>
    <row r="423" spans="2:2">
      <c r="B423" s="131"/>
    </row>
    <row r="424" spans="2:2">
      <c r="B424" s="131"/>
    </row>
    <row r="425" spans="2:2">
      <c r="B425" s="131"/>
    </row>
    <row r="426" spans="2:2">
      <c r="B426" s="131"/>
    </row>
    <row r="427" spans="2:2">
      <c r="B427" s="131"/>
    </row>
    <row r="428" spans="2:2">
      <c r="B428" s="131"/>
    </row>
    <row r="429" spans="2:2">
      <c r="B429" s="131"/>
    </row>
    <row r="430" spans="2:2">
      <c r="B430" s="131"/>
    </row>
    <row r="431" spans="2:2">
      <c r="B431" s="131"/>
    </row>
    <row r="432" spans="2:2">
      <c r="B432" s="131"/>
    </row>
    <row r="433" spans="2:2">
      <c r="B433" s="131"/>
    </row>
    <row r="434" spans="2:2">
      <c r="B434" s="131"/>
    </row>
    <row r="435" spans="2:2">
      <c r="B435" s="131"/>
    </row>
    <row r="436" spans="2:2">
      <c r="B436" s="131"/>
    </row>
    <row r="437" spans="2:2">
      <c r="B437" s="131"/>
    </row>
    <row r="438" spans="2:2">
      <c r="B438" s="131"/>
    </row>
    <row r="439" spans="2:2">
      <c r="B439" s="131"/>
    </row>
    <row r="440" spans="2:2">
      <c r="B440" s="131"/>
    </row>
    <row r="441" spans="2:2">
      <c r="B441" s="131"/>
    </row>
    <row r="442" spans="2:2">
      <c r="B442" s="131"/>
    </row>
    <row r="443" spans="2:2">
      <c r="B443" s="131"/>
    </row>
    <row r="444" spans="2:2">
      <c r="B444" s="131"/>
    </row>
    <row r="445" spans="2:2">
      <c r="B445" s="131"/>
    </row>
    <row r="446" spans="2:2">
      <c r="B446" s="131"/>
    </row>
    <row r="447" spans="2:2">
      <c r="B447" s="131"/>
    </row>
    <row r="448" spans="2:2">
      <c r="B448" s="131"/>
    </row>
    <row r="449" spans="2:2">
      <c r="B449" s="131"/>
    </row>
    <row r="450" spans="2:2">
      <c r="B450" s="131"/>
    </row>
    <row r="451" spans="2:2">
      <c r="B451" s="131"/>
    </row>
    <row r="452" spans="2:2">
      <c r="B452" s="131"/>
    </row>
    <row r="453" spans="2:2">
      <c r="B453" s="131"/>
    </row>
    <row r="454" spans="2:2">
      <c r="B454" s="131"/>
    </row>
    <row r="455" spans="2:2">
      <c r="B455" s="131"/>
    </row>
    <row r="456" spans="2:2">
      <c r="B456" s="131"/>
    </row>
    <row r="457" spans="2:2">
      <c r="B457" s="131"/>
    </row>
    <row r="458" spans="2:2">
      <c r="B458" s="131"/>
    </row>
    <row r="459" spans="2:2">
      <c r="B459" s="131"/>
    </row>
    <row r="460" spans="2:2">
      <c r="B460" s="131"/>
    </row>
    <row r="461" spans="2:2">
      <c r="B461" s="131"/>
    </row>
    <row r="462" spans="2:2">
      <c r="B462" s="131"/>
    </row>
    <row r="463" spans="2:2">
      <c r="B463" s="131"/>
    </row>
    <row r="464" spans="2:2">
      <c r="B464" s="131"/>
    </row>
    <row r="465" spans="2:2">
      <c r="B465" s="131"/>
    </row>
    <row r="466" spans="2:2">
      <c r="B466" s="131"/>
    </row>
    <row r="467" spans="2:2">
      <c r="B467" s="131"/>
    </row>
    <row r="468" spans="2:2">
      <c r="B468" s="131"/>
    </row>
    <row r="469" spans="2:2">
      <c r="B469" s="131"/>
    </row>
    <row r="470" spans="2:2">
      <c r="B470" s="131"/>
    </row>
    <row r="471" spans="2:2">
      <c r="B471" s="131"/>
    </row>
    <row r="472" spans="2:2">
      <c r="B472" s="131"/>
    </row>
    <row r="473" spans="2:2">
      <c r="B473" s="131"/>
    </row>
    <row r="474" spans="2:2">
      <c r="B474" s="131"/>
    </row>
    <row r="475" spans="2:2">
      <c r="B475" s="131"/>
    </row>
    <row r="476" spans="2:2">
      <c r="B476" s="131"/>
    </row>
    <row r="477" spans="2:2">
      <c r="B477" s="131"/>
    </row>
    <row r="478" spans="2:2">
      <c r="B478" s="131"/>
    </row>
    <row r="479" spans="2:2">
      <c r="B479" s="131"/>
    </row>
    <row r="480" spans="2:2">
      <c r="B480" s="131"/>
    </row>
    <row r="481" spans="2:2">
      <c r="B481" s="131"/>
    </row>
    <row r="482" spans="2:2">
      <c r="B482" s="131"/>
    </row>
    <row r="483" spans="2:2">
      <c r="B483" s="131"/>
    </row>
    <row r="484" spans="2:2">
      <c r="B484" s="131"/>
    </row>
    <row r="485" spans="2:2">
      <c r="B485" s="131"/>
    </row>
    <row r="486" spans="2:2">
      <c r="B486" s="131"/>
    </row>
    <row r="487" spans="2:2">
      <c r="B487" s="131"/>
    </row>
  </sheetData>
  <mergeCells count="6">
    <mergeCell ref="D264:E264"/>
    <mergeCell ref="D265:E265"/>
    <mergeCell ref="B2:H2"/>
    <mergeCell ref="A6:B6"/>
    <mergeCell ref="F264:H264"/>
    <mergeCell ref="F265:H265"/>
  </mergeCells>
  <pageMargins left="0.39370078740157483" right="0.39370078740157483" top="0.78740157480314965" bottom="0.39370078740157483" header="0.31496062992125984" footer="0.31496062992125984"/>
  <pageSetup paperSize="9" scale="66" fitToHeight="111" orientation="landscape" r:id="rId1"/>
  <rowBreaks count="1" manualBreakCount="1">
    <brk id="22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52"/>
  <sheetViews>
    <sheetView view="pageBreakPreview" zoomScale="70" zoomScaleNormal="100" zoomScaleSheetLayoutView="70" workbookViewId="0">
      <selection activeCell="F12" sqref="F12"/>
    </sheetView>
  </sheetViews>
  <sheetFormatPr defaultRowHeight="18.75"/>
  <cols>
    <col min="1" max="1" width="60.28515625" style="16" customWidth="1"/>
    <col min="2" max="2" width="13.140625" style="34" customWidth="1"/>
    <col min="3" max="3" width="16.140625" style="171" customWidth="1"/>
    <col min="4" max="4" width="16.7109375" style="34" customWidth="1"/>
    <col min="5" max="5" width="16.140625" style="34" customWidth="1"/>
    <col min="6" max="6" width="16" style="34" customWidth="1"/>
    <col min="7" max="7" width="16.42578125" style="16" customWidth="1"/>
    <col min="8" max="16384" width="9.140625" style="16"/>
  </cols>
  <sheetData>
    <row r="1" spans="1:7" ht="27.75" customHeight="1">
      <c r="A1" s="225" t="s">
        <v>105</v>
      </c>
      <c r="B1" s="225"/>
      <c r="C1" s="225"/>
      <c r="D1" s="225"/>
      <c r="E1" s="225"/>
      <c r="F1" s="225"/>
    </row>
    <row r="2" spans="1:7" ht="19.5" customHeight="1">
      <c r="A2" s="17"/>
      <c r="B2" s="18"/>
      <c r="C2" s="173"/>
      <c r="D2" s="17"/>
      <c r="E2" s="17"/>
      <c r="F2" s="18"/>
      <c r="G2" s="40" t="s">
        <v>65</v>
      </c>
    </row>
    <row r="3" spans="1:7" ht="64.5" customHeight="1">
      <c r="A3" s="20" t="s">
        <v>23</v>
      </c>
      <c r="B3" s="1" t="s">
        <v>5</v>
      </c>
      <c r="C3" s="91" t="s">
        <v>146</v>
      </c>
      <c r="D3" s="91" t="s">
        <v>145</v>
      </c>
      <c r="E3" s="1" t="s">
        <v>173</v>
      </c>
      <c r="F3" s="193" t="s">
        <v>120</v>
      </c>
      <c r="G3" s="1" t="s">
        <v>121</v>
      </c>
    </row>
    <row r="4" spans="1:7" ht="18" customHeight="1">
      <c r="A4" s="20">
        <v>1</v>
      </c>
      <c r="B4" s="1">
        <v>2</v>
      </c>
      <c r="C4" s="91">
        <v>3</v>
      </c>
      <c r="D4" s="1">
        <v>4</v>
      </c>
      <c r="E4" s="1">
        <v>5</v>
      </c>
      <c r="F4" s="1">
        <v>6</v>
      </c>
      <c r="G4" s="19">
        <v>7</v>
      </c>
    </row>
    <row r="5" spans="1:7" ht="37.5" customHeight="1">
      <c r="A5" s="26" t="s">
        <v>13</v>
      </c>
      <c r="B5" s="21">
        <v>4000</v>
      </c>
      <c r="C5" s="22">
        <f>C6+C10+C25</f>
        <v>82.6</v>
      </c>
      <c r="D5" s="22">
        <f>D6+D10+D25</f>
        <v>0</v>
      </c>
      <c r="E5" s="22">
        <f>E6+E10+E25</f>
        <v>489.4</v>
      </c>
      <c r="F5" s="22">
        <f>E5-D5</f>
        <v>489.4</v>
      </c>
      <c r="G5" s="195" t="e">
        <f>(E5/D5)*100</f>
        <v>#DIV/0!</v>
      </c>
    </row>
    <row r="6" spans="1:7" ht="27.75" customHeight="1">
      <c r="A6" s="181" t="s">
        <v>0</v>
      </c>
      <c r="B6" s="182">
        <v>4020</v>
      </c>
      <c r="C6" s="70">
        <f>C7+C8+C9</f>
        <v>55.6</v>
      </c>
      <c r="D6" s="70">
        <f>D7</f>
        <v>0</v>
      </c>
      <c r="E6" s="70">
        <f>E7</f>
        <v>162.5</v>
      </c>
      <c r="F6" s="70">
        <f>E6-D6</f>
        <v>162.5</v>
      </c>
      <c r="G6" s="195" t="e">
        <f>(E6/D6)*100</f>
        <v>#DIV/0!</v>
      </c>
    </row>
    <row r="7" spans="1:7" ht="27.75" customHeight="1">
      <c r="A7" s="109" t="s">
        <v>259</v>
      </c>
      <c r="B7" s="38"/>
      <c r="C7" s="41"/>
      <c r="D7" s="41"/>
      <c r="E7" s="24">
        <v>162.5</v>
      </c>
      <c r="F7" s="70"/>
      <c r="G7" s="195"/>
    </row>
    <row r="8" spans="1:7" ht="27.75" customHeight="1">
      <c r="A8" s="132" t="s">
        <v>283</v>
      </c>
      <c r="B8" s="38"/>
      <c r="C8" s="24">
        <v>6</v>
      </c>
      <c r="D8" s="41"/>
      <c r="E8" s="41"/>
      <c r="F8" s="70"/>
      <c r="G8" s="195"/>
    </row>
    <row r="9" spans="1:7" ht="52.5" customHeight="1">
      <c r="A9" s="109" t="s">
        <v>284</v>
      </c>
      <c r="B9" s="38"/>
      <c r="C9" s="24">
        <v>49.6</v>
      </c>
      <c r="D9" s="41"/>
      <c r="E9" s="41"/>
      <c r="F9" s="70"/>
      <c r="G9" s="195"/>
    </row>
    <row r="10" spans="1:7" s="25" customFormat="1" ht="38.25" customHeight="1">
      <c r="A10" s="183" t="s">
        <v>7</v>
      </c>
      <c r="B10" s="184">
        <v>4030</v>
      </c>
      <c r="C10" s="70">
        <f>SUM(C11:C24)</f>
        <v>26.999999999999996</v>
      </c>
      <c r="D10" s="70">
        <f>D24</f>
        <v>0</v>
      </c>
      <c r="E10" s="70">
        <f>E24</f>
        <v>22</v>
      </c>
      <c r="F10" s="70">
        <f>E10-D10</f>
        <v>22</v>
      </c>
      <c r="G10" s="195" t="e">
        <f>(E10/D10)*100</f>
        <v>#DIV/0!</v>
      </c>
    </row>
    <row r="11" spans="1:7" s="25" customFormat="1" ht="38.25" customHeight="1">
      <c r="A11" s="133" t="s">
        <v>285</v>
      </c>
      <c r="B11" s="42"/>
      <c r="C11" s="24">
        <v>0.5</v>
      </c>
      <c r="D11" s="41"/>
      <c r="E11" s="41"/>
      <c r="F11" s="70"/>
      <c r="G11" s="46"/>
    </row>
    <row r="12" spans="1:7" s="25" customFormat="1" ht="38.25" customHeight="1">
      <c r="A12" s="133" t="s">
        <v>286</v>
      </c>
      <c r="B12" s="42"/>
      <c r="C12" s="24">
        <v>0.7</v>
      </c>
      <c r="D12" s="41"/>
      <c r="E12" s="41"/>
      <c r="F12" s="70"/>
      <c r="G12" s="46"/>
    </row>
    <row r="13" spans="1:7" s="25" customFormat="1" ht="30.75" customHeight="1">
      <c r="A13" s="133" t="s">
        <v>287</v>
      </c>
      <c r="B13" s="42"/>
      <c r="C13" s="24">
        <v>1.6</v>
      </c>
      <c r="D13" s="41"/>
      <c r="E13" s="41"/>
      <c r="F13" s="70"/>
      <c r="G13" s="46"/>
    </row>
    <row r="14" spans="1:7" s="25" customFormat="1" ht="38.25" customHeight="1">
      <c r="A14" s="133" t="s">
        <v>288</v>
      </c>
      <c r="B14" s="42"/>
      <c r="C14" s="24">
        <v>3.1</v>
      </c>
      <c r="D14" s="41"/>
      <c r="E14" s="41"/>
      <c r="F14" s="70"/>
      <c r="G14" s="46"/>
    </row>
    <row r="15" spans="1:7" s="25" customFormat="1" ht="29.25" customHeight="1">
      <c r="A15" s="133" t="s">
        <v>289</v>
      </c>
      <c r="B15" s="42"/>
      <c r="C15" s="24">
        <v>0.8</v>
      </c>
      <c r="D15" s="41"/>
      <c r="E15" s="41"/>
      <c r="F15" s="70"/>
      <c r="G15" s="46"/>
    </row>
    <row r="16" spans="1:7" s="25" customFormat="1" ht="31.5" customHeight="1">
      <c r="A16" s="133" t="s">
        <v>290</v>
      </c>
      <c r="B16" s="42"/>
      <c r="C16" s="24">
        <v>1.2</v>
      </c>
      <c r="D16" s="41"/>
      <c r="E16" s="41"/>
      <c r="F16" s="70"/>
      <c r="G16" s="46"/>
    </row>
    <row r="17" spans="1:8" s="25" customFormat="1" ht="38.25" customHeight="1">
      <c r="A17" s="133" t="s">
        <v>291</v>
      </c>
      <c r="B17" s="42"/>
      <c r="C17" s="24">
        <v>0.6</v>
      </c>
      <c r="D17" s="41"/>
      <c r="E17" s="41"/>
      <c r="F17" s="70"/>
      <c r="G17" s="46"/>
    </row>
    <row r="18" spans="1:8" s="25" customFormat="1" ht="28.5" customHeight="1">
      <c r="A18" s="133" t="s">
        <v>292</v>
      </c>
      <c r="B18" s="42"/>
      <c r="C18" s="24">
        <v>1.6</v>
      </c>
      <c r="D18" s="41"/>
      <c r="E18" s="41"/>
      <c r="F18" s="70"/>
      <c r="G18" s="46"/>
    </row>
    <row r="19" spans="1:8" s="25" customFormat="1" ht="27.75" customHeight="1">
      <c r="A19" s="133" t="s">
        <v>293</v>
      </c>
      <c r="B19" s="42"/>
      <c r="C19" s="24">
        <v>4.8</v>
      </c>
      <c r="D19" s="41"/>
      <c r="E19" s="41"/>
      <c r="F19" s="70"/>
      <c r="G19" s="46"/>
    </row>
    <row r="20" spans="1:8" s="25" customFormat="1" ht="29.25" customHeight="1">
      <c r="A20" s="133" t="s">
        <v>294</v>
      </c>
      <c r="B20" s="42"/>
      <c r="C20" s="24">
        <v>5.2</v>
      </c>
      <c r="D20" s="41"/>
      <c r="E20" s="41"/>
      <c r="F20" s="70"/>
      <c r="G20" s="46"/>
    </row>
    <row r="21" spans="1:8" s="25" customFormat="1" ht="23.25" customHeight="1">
      <c r="A21" s="133" t="s">
        <v>295</v>
      </c>
      <c r="B21" s="42"/>
      <c r="C21" s="24">
        <v>5.7</v>
      </c>
      <c r="D21" s="41"/>
      <c r="E21" s="41"/>
      <c r="F21" s="70"/>
      <c r="G21" s="46"/>
    </row>
    <row r="22" spans="1:8" s="25" customFormat="1" ht="31.5" customHeight="1">
      <c r="A22" s="133" t="s">
        <v>296</v>
      </c>
      <c r="B22" s="42"/>
      <c r="C22" s="24">
        <v>0.8</v>
      </c>
      <c r="D22" s="41"/>
      <c r="E22" s="41"/>
      <c r="F22" s="70"/>
      <c r="G22" s="46"/>
    </row>
    <row r="23" spans="1:8" s="25" customFormat="1" ht="30" customHeight="1">
      <c r="A23" s="133" t="s">
        <v>297</v>
      </c>
      <c r="B23" s="42"/>
      <c r="C23" s="24">
        <v>0.4</v>
      </c>
      <c r="D23" s="41"/>
      <c r="E23" s="41"/>
      <c r="F23" s="70"/>
      <c r="G23" s="46"/>
    </row>
    <row r="24" spans="1:8" ht="27" customHeight="1">
      <c r="A24" s="23" t="s">
        <v>258</v>
      </c>
      <c r="B24" s="1"/>
      <c r="C24" s="24"/>
      <c r="D24" s="24"/>
      <c r="E24" s="24">
        <v>22</v>
      </c>
      <c r="F24" s="24">
        <f>E24-D24</f>
        <v>22</v>
      </c>
      <c r="G24" s="194" t="e">
        <f>(E24/D24)*100</f>
        <v>#DIV/0!</v>
      </c>
    </row>
    <row r="25" spans="1:8" ht="27.75" customHeight="1">
      <c r="A25" s="181" t="s">
        <v>39</v>
      </c>
      <c r="B25" s="182">
        <v>4060</v>
      </c>
      <c r="C25" s="70"/>
      <c r="D25" s="70"/>
      <c r="E25" s="70">
        <f>E26</f>
        <v>304.89999999999998</v>
      </c>
      <c r="F25" s="70">
        <f>E25-D25</f>
        <v>304.89999999999998</v>
      </c>
      <c r="G25" s="195" t="e">
        <f>(E25/D25)*100</f>
        <v>#DIV/0!</v>
      </c>
    </row>
    <row r="26" spans="1:8" ht="89.25" customHeight="1">
      <c r="A26" s="109" t="s">
        <v>260</v>
      </c>
      <c r="B26" s="1"/>
      <c r="C26" s="24"/>
      <c r="D26" s="24"/>
      <c r="E26" s="24">
        <v>304.89999999999998</v>
      </c>
      <c r="F26" s="24">
        <f>E26-D26</f>
        <v>304.89999999999998</v>
      </c>
      <c r="G26" s="194" t="e">
        <f>(E26/D26)*100</f>
        <v>#DIV/0!</v>
      </c>
    </row>
    <row r="27" spans="1:8" ht="27" customHeight="1">
      <c r="A27" s="23"/>
      <c r="B27" s="1"/>
      <c r="C27" s="24"/>
      <c r="D27" s="24"/>
      <c r="E27" s="24"/>
      <c r="F27" s="24"/>
      <c r="G27" s="194" t="e">
        <f>(E27/D27)*100</f>
        <v>#DIV/0!</v>
      </c>
    </row>
    <row r="28" spans="1:8" ht="27" customHeight="1">
      <c r="A28" s="43"/>
      <c r="B28" s="44"/>
      <c r="C28" s="39"/>
      <c r="D28" s="39"/>
      <c r="E28" s="39"/>
      <c r="F28" s="39"/>
      <c r="G28" s="45"/>
    </row>
    <row r="29" spans="1:8" ht="26.25" customHeight="1">
      <c r="A29" s="156" t="s">
        <v>375</v>
      </c>
      <c r="B29" s="31"/>
      <c r="C29" s="223"/>
      <c r="D29" s="223"/>
      <c r="E29" s="216" t="s">
        <v>234</v>
      </c>
      <c r="F29" s="216"/>
      <c r="G29" s="216"/>
      <c r="H29" s="108"/>
    </row>
    <row r="30" spans="1:8">
      <c r="A30" s="32" t="s">
        <v>60</v>
      </c>
      <c r="B30" s="33"/>
      <c r="C30" s="220" t="s">
        <v>66</v>
      </c>
      <c r="D30" s="220"/>
      <c r="E30" s="74"/>
      <c r="F30" s="33" t="s">
        <v>17</v>
      </c>
      <c r="G30" s="33"/>
    </row>
    <row r="31" spans="1:8">
      <c r="A31" s="27"/>
      <c r="B31" s="28"/>
      <c r="C31" s="172"/>
      <c r="D31" s="29"/>
      <c r="E31" s="29"/>
      <c r="F31" s="29"/>
    </row>
    <row r="32" spans="1:8">
      <c r="A32" s="27"/>
      <c r="B32" s="28"/>
      <c r="C32" s="172"/>
      <c r="D32" s="29"/>
      <c r="E32" s="29"/>
      <c r="F32" s="29"/>
    </row>
    <row r="33" spans="1:6">
      <c r="A33" s="27"/>
      <c r="B33" s="28"/>
      <c r="C33" s="172"/>
      <c r="D33" s="29"/>
      <c r="E33" s="29"/>
      <c r="F33" s="29"/>
    </row>
    <row r="34" spans="1:6">
      <c r="A34" s="27"/>
      <c r="B34" s="28"/>
      <c r="C34" s="172"/>
      <c r="D34" s="29"/>
      <c r="E34" s="29"/>
      <c r="F34" s="29"/>
    </row>
    <row r="35" spans="1:6">
      <c r="A35" s="27"/>
      <c r="B35" s="28"/>
      <c r="C35" s="172"/>
      <c r="D35" s="29"/>
      <c r="E35" s="29"/>
      <c r="F35" s="29"/>
    </row>
    <row r="36" spans="1:6">
      <c r="A36" s="27"/>
      <c r="B36" s="28"/>
      <c r="C36" s="172"/>
      <c r="D36" s="29"/>
      <c r="E36" s="29"/>
      <c r="F36" s="29"/>
    </row>
    <row r="37" spans="1:6">
      <c r="A37" s="27"/>
      <c r="B37" s="28"/>
      <c r="C37" s="172"/>
      <c r="D37" s="29"/>
      <c r="E37" s="29"/>
      <c r="F37" s="29"/>
    </row>
    <row r="38" spans="1:6">
      <c r="A38" s="27"/>
      <c r="B38" s="28"/>
      <c r="C38" s="172"/>
      <c r="D38" s="29"/>
      <c r="E38" s="29"/>
      <c r="F38" s="29"/>
    </row>
    <row r="39" spans="1:6">
      <c r="A39" s="27"/>
      <c r="B39" s="28"/>
      <c r="C39" s="172"/>
      <c r="D39" s="29"/>
      <c r="E39" s="29"/>
      <c r="F39" s="29"/>
    </row>
    <row r="40" spans="1:6">
      <c r="A40" s="27"/>
      <c r="B40" s="28"/>
      <c r="C40" s="172"/>
      <c r="D40" s="29"/>
      <c r="E40" s="29"/>
      <c r="F40" s="29"/>
    </row>
    <row r="41" spans="1:6">
      <c r="A41" s="27"/>
      <c r="B41" s="28"/>
      <c r="C41" s="172"/>
      <c r="D41" s="29"/>
      <c r="E41" s="29"/>
      <c r="F41" s="29"/>
    </row>
    <row r="42" spans="1:6">
      <c r="A42" s="27"/>
      <c r="B42" s="28"/>
      <c r="C42" s="172"/>
      <c r="D42" s="29"/>
      <c r="E42" s="29"/>
      <c r="F42" s="29"/>
    </row>
    <row r="43" spans="1:6">
      <c r="A43" s="27"/>
      <c r="B43" s="28"/>
      <c r="C43" s="172"/>
      <c r="D43" s="29"/>
      <c r="E43" s="29"/>
      <c r="F43" s="29"/>
    </row>
    <row r="44" spans="1:6">
      <c r="A44" s="27"/>
      <c r="B44" s="28"/>
      <c r="C44" s="172"/>
      <c r="D44" s="29"/>
      <c r="E44" s="29"/>
      <c r="F44" s="29"/>
    </row>
    <row r="45" spans="1:6">
      <c r="A45" s="27"/>
      <c r="B45" s="28"/>
      <c r="C45" s="172"/>
      <c r="D45" s="29"/>
      <c r="E45" s="29"/>
      <c r="F45" s="29"/>
    </row>
    <row r="46" spans="1:6">
      <c r="A46" s="27"/>
      <c r="B46" s="28"/>
      <c r="C46" s="172"/>
      <c r="D46" s="29"/>
      <c r="E46" s="29"/>
      <c r="F46" s="29"/>
    </row>
    <row r="47" spans="1:6">
      <c r="A47" s="27"/>
      <c r="B47" s="28"/>
      <c r="C47" s="172"/>
      <c r="D47" s="29"/>
      <c r="E47" s="29"/>
      <c r="F47" s="29"/>
    </row>
    <row r="48" spans="1:6">
      <c r="A48" s="27"/>
      <c r="B48" s="28"/>
      <c r="C48" s="172"/>
      <c r="D48" s="29"/>
      <c r="E48" s="29"/>
      <c r="F48" s="29"/>
    </row>
    <row r="49" spans="1:6">
      <c r="A49" s="27"/>
      <c r="B49" s="28"/>
      <c r="C49" s="172"/>
      <c r="D49" s="29"/>
      <c r="E49" s="29"/>
      <c r="F49" s="29"/>
    </row>
    <row r="50" spans="1:6">
      <c r="A50" s="27"/>
      <c r="B50" s="28"/>
      <c r="C50" s="172"/>
      <c r="D50" s="29"/>
      <c r="E50" s="29"/>
      <c r="F50" s="29"/>
    </row>
    <row r="51" spans="1:6">
      <c r="A51" s="27"/>
      <c r="B51" s="28"/>
      <c r="C51" s="172"/>
      <c r="D51" s="29"/>
      <c r="E51" s="29"/>
      <c r="F51" s="29"/>
    </row>
    <row r="52" spans="1:6">
      <c r="A52" s="27"/>
      <c r="B52" s="28"/>
      <c r="C52" s="172"/>
      <c r="D52" s="29"/>
      <c r="E52" s="29"/>
      <c r="F52" s="29"/>
    </row>
    <row r="53" spans="1:6">
      <c r="A53" s="27"/>
      <c r="B53" s="28"/>
      <c r="C53" s="172"/>
      <c r="D53" s="29"/>
      <c r="E53" s="29"/>
      <c r="F53" s="29"/>
    </row>
    <row r="54" spans="1:6">
      <c r="A54" s="27"/>
      <c r="B54" s="28"/>
      <c r="C54" s="172"/>
      <c r="D54" s="29"/>
      <c r="E54" s="29"/>
      <c r="F54" s="29"/>
    </row>
    <row r="55" spans="1:6">
      <c r="A55" s="27"/>
      <c r="B55" s="28"/>
      <c r="C55" s="172"/>
      <c r="D55" s="29"/>
      <c r="E55" s="29"/>
      <c r="F55" s="29"/>
    </row>
    <row r="56" spans="1:6">
      <c r="A56" s="27"/>
      <c r="B56" s="28"/>
      <c r="C56" s="172"/>
      <c r="D56" s="29"/>
      <c r="E56" s="29"/>
      <c r="F56" s="29"/>
    </row>
    <row r="57" spans="1:6">
      <c r="A57" s="27"/>
      <c r="B57" s="28"/>
      <c r="C57" s="172"/>
      <c r="D57" s="29"/>
      <c r="E57" s="29"/>
      <c r="F57" s="29"/>
    </row>
    <row r="58" spans="1:6">
      <c r="A58" s="27"/>
      <c r="B58" s="28"/>
      <c r="C58" s="172"/>
      <c r="D58" s="29"/>
      <c r="E58" s="29"/>
      <c r="F58" s="29"/>
    </row>
    <row r="59" spans="1:6">
      <c r="A59" s="27"/>
      <c r="B59" s="28"/>
      <c r="C59" s="172"/>
      <c r="D59" s="29"/>
      <c r="E59" s="29"/>
      <c r="F59" s="29"/>
    </row>
    <row r="60" spans="1:6">
      <c r="A60" s="27"/>
      <c r="B60" s="28"/>
      <c r="C60" s="172"/>
      <c r="D60" s="29"/>
      <c r="E60" s="29"/>
      <c r="F60" s="29"/>
    </row>
    <row r="61" spans="1:6">
      <c r="A61" s="27"/>
      <c r="B61" s="28"/>
      <c r="C61" s="172"/>
      <c r="D61" s="29"/>
      <c r="E61" s="29"/>
      <c r="F61" s="29"/>
    </row>
    <row r="62" spans="1:6">
      <c r="A62" s="27"/>
      <c r="C62" s="172"/>
      <c r="D62" s="35"/>
      <c r="E62" s="35"/>
      <c r="F62" s="35"/>
    </row>
    <row r="63" spans="1:6">
      <c r="A63" s="36"/>
      <c r="C63" s="172"/>
      <c r="D63" s="35"/>
      <c r="E63" s="35"/>
      <c r="F63" s="35"/>
    </row>
    <row r="64" spans="1:6">
      <c r="A64" s="36"/>
      <c r="C64" s="172"/>
      <c r="D64" s="35"/>
      <c r="E64" s="35"/>
      <c r="F64" s="35"/>
    </row>
    <row r="65" spans="1:6">
      <c r="A65" s="36"/>
      <c r="C65" s="172"/>
      <c r="D65" s="35"/>
      <c r="E65" s="35"/>
      <c r="F65" s="35"/>
    </row>
    <row r="66" spans="1:6">
      <c r="A66" s="36"/>
      <c r="C66" s="172"/>
      <c r="D66" s="35"/>
      <c r="E66" s="35"/>
      <c r="F66" s="35"/>
    </row>
    <row r="67" spans="1:6">
      <c r="A67" s="36"/>
      <c r="C67" s="172"/>
      <c r="D67" s="35"/>
      <c r="E67" s="35"/>
      <c r="F67" s="35"/>
    </row>
    <row r="68" spans="1:6">
      <c r="A68" s="36"/>
      <c r="C68" s="172"/>
      <c r="D68" s="35"/>
      <c r="E68" s="35"/>
      <c r="F68" s="35"/>
    </row>
    <row r="69" spans="1:6">
      <c r="A69" s="36"/>
      <c r="C69" s="172"/>
      <c r="D69" s="35"/>
      <c r="E69" s="35"/>
      <c r="F69" s="35"/>
    </row>
    <row r="70" spans="1:6">
      <c r="A70" s="36"/>
      <c r="C70" s="172"/>
      <c r="D70" s="35"/>
      <c r="E70" s="35"/>
      <c r="F70" s="35"/>
    </row>
    <row r="71" spans="1:6">
      <c r="A71" s="36"/>
      <c r="C71" s="172"/>
      <c r="D71" s="35"/>
      <c r="E71" s="35"/>
      <c r="F71" s="35"/>
    </row>
    <row r="72" spans="1:6">
      <c r="A72" s="36"/>
      <c r="C72" s="172"/>
      <c r="D72" s="35"/>
      <c r="E72" s="35"/>
      <c r="F72" s="35"/>
    </row>
    <row r="73" spans="1:6">
      <c r="A73" s="36"/>
      <c r="C73" s="172"/>
      <c r="D73" s="35"/>
      <c r="E73" s="35"/>
      <c r="F73" s="35"/>
    </row>
    <row r="74" spans="1:6">
      <c r="A74" s="36"/>
      <c r="C74" s="172"/>
      <c r="D74" s="35"/>
      <c r="E74" s="35"/>
      <c r="F74" s="35"/>
    </row>
    <row r="75" spans="1:6">
      <c r="A75" s="36"/>
      <c r="C75" s="172"/>
      <c r="D75" s="35"/>
      <c r="E75" s="35"/>
      <c r="F75" s="35"/>
    </row>
    <row r="76" spans="1:6">
      <c r="A76" s="36"/>
      <c r="C76" s="172"/>
      <c r="D76" s="35"/>
      <c r="E76" s="35"/>
      <c r="F76" s="35"/>
    </row>
    <row r="77" spans="1:6">
      <c r="A77" s="36"/>
      <c r="C77" s="172"/>
      <c r="D77" s="35"/>
      <c r="E77" s="35"/>
      <c r="F77" s="35"/>
    </row>
    <row r="78" spans="1:6">
      <c r="A78" s="36"/>
      <c r="C78" s="172"/>
      <c r="D78" s="35"/>
      <c r="E78" s="35"/>
      <c r="F78" s="35"/>
    </row>
    <row r="79" spans="1:6">
      <c r="A79" s="36"/>
      <c r="C79" s="172"/>
      <c r="D79" s="35"/>
      <c r="E79" s="35"/>
      <c r="F79" s="35"/>
    </row>
    <row r="80" spans="1:6">
      <c r="A80" s="36"/>
      <c r="C80" s="172"/>
      <c r="D80" s="35"/>
      <c r="E80" s="35"/>
      <c r="F80" s="35"/>
    </row>
    <row r="81" spans="1:6">
      <c r="A81" s="36"/>
      <c r="C81" s="172"/>
      <c r="D81" s="35"/>
      <c r="E81" s="35"/>
      <c r="F81" s="35"/>
    </row>
    <row r="82" spans="1:6">
      <c r="A82" s="36"/>
      <c r="C82" s="172"/>
      <c r="D82" s="35"/>
      <c r="E82" s="35"/>
      <c r="F82" s="35"/>
    </row>
    <row r="83" spans="1:6">
      <c r="A83" s="36"/>
      <c r="C83" s="172"/>
      <c r="D83" s="35"/>
      <c r="E83" s="35"/>
      <c r="F83" s="35"/>
    </row>
    <row r="84" spans="1:6">
      <c r="A84" s="36"/>
      <c r="C84" s="172"/>
      <c r="D84" s="35"/>
      <c r="E84" s="35"/>
      <c r="F84" s="35"/>
    </row>
    <row r="85" spans="1:6">
      <c r="A85" s="36"/>
    </row>
    <row r="86" spans="1:6">
      <c r="A86" s="37"/>
    </row>
    <row r="87" spans="1:6">
      <c r="A87" s="37"/>
    </row>
    <row r="88" spans="1:6">
      <c r="A88" s="37"/>
    </row>
    <row r="89" spans="1:6">
      <c r="A89" s="37"/>
    </row>
    <row r="90" spans="1:6">
      <c r="A90" s="37"/>
    </row>
    <row r="91" spans="1:6">
      <c r="A91" s="37"/>
    </row>
    <row r="92" spans="1:6">
      <c r="A92" s="37"/>
    </row>
    <row r="93" spans="1:6">
      <c r="A93" s="37"/>
    </row>
    <row r="94" spans="1:6">
      <c r="A94" s="37"/>
    </row>
    <row r="95" spans="1:6">
      <c r="A95" s="37"/>
    </row>
    <row r="96" spans="1:6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</sheetData>
  <mergeCells count="4">
    <mergeCell ref="C29:D29"/>
    <mergeCell ref="C30:D30"/>
    <mergeCell ref="A1:F1"/>
    <mergeCell ref="E29:G29"/>
  </mergeCells>
  <pageMargins left="0.39370078740157483" right="0.39370078740157483" top="0.78740157480314965" bottom="0.39370078740157483" header="0.19685039370078741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32"/>
  <sheetViews>
    <sheetView view="pageBreakPreview" topLeftCell="A4" zoomScale="80" zoomScaleNormal="60" zoomScaleSheetLayoutView="80" workbookViewId="0">
      <selection activeCell="H7" sqref="H7"/>
    </sheetView>
  </sheetViews>
  <sheetFormatPr defaultRowHeight="20.25"/>
  <cols>
    <col min="1" max="1" width="8.28515625" style="15" customWidth="1"/>
    <col min="2" max="2" width="26.140625" style="15" customWidth="1"/>
    <col min="3" max="3" width="11.28515625" style="15" customWidth="1"/>
    <col min="4" max="4" width="15.28515625" style="15" customWidth="1"/>
    <col min="5" max="10" width="18.42578125" style="15" customWidth="1"/>
    <col min="11" max="11" width="18.7109375" style="15" customWidth="1"/>
    <col min="12" max="12" width="19" style="15" customWidth="1"/>
    <col min="13" max="16" width="18.42578125" style="15" customWidth="1"/>
    <col min="17" max="16384" width="9.140625" style="15"/>
  </cols>
  <sheetData>
    <row r="1" spans="1:16">
      <c r="A1" s="47"/>
      <c r="B1" s="47"/>
      <c r="C1" s="47"/>
      <c r="D1" s="47"/>
      <c r="E1" s="47"/>
      <c r="F1" s="47"/>
      <c r="G1" s="47"/>
      <c r="H1" s="47"/>
      <c r="I1" s="48"/>
      <c r="J1" s="48"/>
      <c r="K1" s="49"/>
      <c r="L1" s="49"/>
      <c r="M1" s="49"/>
      <c r="N1" s="49"/>
      <c r="O1" s="49"/>
      <c r="P1" s="48"/>
    </row>
    <row r="2" spans="1:16" s="51" customFormat="1" ht="42.75" customHeight="1">
      <c r="A2" s="50"/>
      <c r="B2" s="50"/>
      <c r="C2" s="50"/>
      <c r="D2" s="232" t="s">
        <v>377</v>
      </c>
      <c r="E2" s="232"/>
      <c r="F2" s="232"/>
      <c r="G2" s="232"/>
      <c r="H2" s="232"/>
      <c r="I2" s="232"/>
      <c r="J2" s="232"/>
      <c r="K2" s="232"/>
      <c r="L2" s="232"/>
      <c r="M2" s="232"/>
      <c r="N2" s="50"/>
      <c r="O2" s="50"/>
      <c r="P2" s="50"/>
    </row>
    <row r="3" spans="1:16">
      <c r="A3" s="52"/>
      <c r="B3" s="52"/>
      <c r="C3" s="52"/>
      <c r="D3" s="52"/>
      <c r="E3" s="53"/>
      <c r="F3" s="53"/>
      <c r="G3" s="53"/>
      <c r="H3" s="53"/>
      <c r="I3" s="53"/>
      <c r="J3" s="53"/>
      <c r="K3" s="49"/>
      <c r="L3" s="49"/>
      <c r="M3" s="49"/>
      <c r="N3" s="49"/>
      <c r="O3" s="49"/>
      <c r="P3" s="48" t="s">
        <v>51</v>
      </c>
    </row>
    <row r="4" spans="1:16" ht="52.5" customHeight="1">
      <c r="A4" s="207" t="s">
        <v>8</v>
      </c>
      <c r="B4" s="207" t="s">
        <v>20</v>
      </c>
      <c r="C4" s="207"/>
      <c r="D4" s="207"/>
      <c r="E4" s="207" t="s">
        <v>139</v>
      </c>
      <c r="F4" s="207"/>
      <c r="G4" s="207" t="s">
        <v>140</v>
      </c>
      <c r="H4" s="207"/>
      <c r="I4" s="207" t="s">
        <v>141</v>
      </c>
      <c r="J4" s="207"/>
      <c r="K4" s="207" t="s">
        <v>142</v>
      </c>
      <c r="L4" s="207"/>
      <c r="M4" s="207" t="s">
        <v>143</v>
      </c>
      <c r="N4" s="207"/>
      <c r="O4" s="207"/>
      <c r="P4" s="207"/>
    </row>
    <row r="5" spans="1:16" ht="111" customHeight="1">
      <c r="A5" s="207"/>
      <c r="B5" s="207"/>
      <c r="C5" s="207"/>
      <c r="D5" s="207"/>
      <c r="E5" s="73" t="s">
        <v>235</v>
      </c>
      <c r="F5" s="73" t="s">
        <v>236</v>
      </c>
      <c r="G5" s="73" t="str">
        <f>E5</f>
        <v>план 
на І квартал 2022 року</v>
      </c>
      <c r="H5" s="73" t="str">
        <f>F5</f>
        <v>факт 
за І квартал 2022 року</v>
      </c>
      <c r="I5" s="73" t="str">
        <f>E5</f>
        <v>план 
на І квартал 2022 року</v>
      </c>
      <c r="J5" s="73" t="str">
        <f>F5</f>
        <v>факт 
за І квартал 2022 року</v>
      </c>
      <c r="K5" s="73" t="str">
        <f>E5</f>
        <v>план 
на І квартал 2022 року</v>
      </c>
      <c r="L5" s="73" t="str">
        <f>F5</f>
        <v>факт 
за І квартал 2022 року</v>
      </c>
      <c r="M5" s="73" t="str">
        <f>E5</f>
        <v>план 
на І квартал 2022 року</v>
      </c>
      <c r="N5" s="73" t="str">
        <f>F5</f>
        <v>факт 
за І квартал 2022 року</v>
      </c>
      <c r="O5" s="10" t="s">
        <v>115</v>
      </c>
      <c r="P5" s="10" t="s">
        <v>118</v>
      </c>
    </row>
    <row r="6" spans="1:16" ht="30" customHeight="1">
      <c r="A6" s="10">
        <v>1</v>
      </c>
      <c r="B6" s="207">
        <v>2</v>
      </c>
      <c r="C6" s="207"/>
      <c r="D6" s="207"/>
      <c r="E6" s="10">
        <v>4</v>
      </c>
      <c r="F6" s="10">
        <v>5</v>
      </c>
      <c r="G6" s="10">
        <v>7</v>
      </c>
      <c r="H6" s="10">
        <v>8</v>
      </c>
      <c r="I6" s="10">
        <v>10</v>
      </c>
      <c r="J6" s="10">
        <v>11</v>
      </c>
      <c r="K6" s="7">
        <v>13</v>
      </c>
      <c r="L6" s="7">
        <v>14</v>
      </c>
      <c r="M6" s="7">
        <v>16</v>
      </c>
      <c r="N6" s="7">
        <v>17</v>
      </c>
      <c r="O6" s="7">
        <v>18</v>
      </c>
      <c r="P6" s="7">
        <v>19</v>
      </c>
    </row>
    <row r="7" spans="1:16" ht="48" customHeight="1">
      <c r="A7" s="10" t="s">
        <v>85</v>
      </c>
      <c r="B7" s="233" t="s">
        <v>96</v>
      </c>
      <c r="C7" s="234"/>
      <c r="D7" s="234"/>
      <c r="E7" s="2"/>
      <c r="F7" s="2"/>
      <c r="G7" s="2"/>
      <c r="H7" s="2"/>
      <c r="I7" s="2"/>
      <c r="J7" s="2"/>
      <c r="K7" s="54"/>
      <c r="L7" s="54">
        <f>L8</f>
        <v>162.5</v>
      </c>
      <c r="M7" s="2">
        <f t="shared" ref="M7:M13" si="0">E7+G7+I7+K7</f>
        <v>0</v>
      </c>
      <c r="N7" s="2">
        <f t="shared" ref="N7:N11" si="1">F7+H7+J7+L7</f>
        <v>162.5</v>
      </c>
      <c r="O7" s="2">
        <f t="shared" ref="O7:O13" si="2">N7-M7</f>
        <v>162.5</v>
      </c>
      <c r="P7" s="180" t="e">
        <f t="shared" ref="P7:P12" si="3">(N7/M7)*100</f>
        <v>#DIV/0!</v>
      </c>
    </row>
    <row r="8" spans="1:16" ht="30" customHeight="1">
      <c r="A8" s="10"/>
      <c r="B8" s="237" t="s">
        <v>259</v>
      </c>
      <c r="C8" s="238"/>
      <c r="D8" s="238"/>
      <c r="E8" s="8"/>
      <c r="F8" s="8"/>
      <c r="G8" s="8"/>
      <c r="H8" s="8"/>
      <c r="I8" s="8"/>
      <c r="J8" s="8"/>
      <c r="K8" s="55"/>
      <c r="L8" s="55">
        <v>162.5</v>
      </c>
      <c r="M8" s="2">
        <f t="shared" si="0"/>
        <v>0</v>
      </c>
      <c r="N8" s="2">
        <f t="shared" si="1"/>
        <v>162.5</v>
      </c>
      <c r="O8" s="2">
        <f t="shared" si="2"/>
        <v>162.5</v>
      </c>
      <c r="P8" s="179" t="e">
        <f t="shared" si="3"/>
        <v>#DIV/0!</v>
      </c>
    </row>
    <row r="9" spans="1:16" ht="79.5" customHeight="1">
      <c r="A9" s="10" t="s">
        <v>94</v>
      </c>
      <c r="B9" s="233" t="s">
        <v>97</v>
      </c>
      <c r="C9" s="234"/>
      <c r="D9" s="234"/>
      <c r="E9" s="2"/>
      <c r="F9" s="2"/>
      <c r="G9" s="2"/>
      <c r="H9" s="2"/>
      <c r="I9" s="2"/>
      <c r="J9" s="2"/>
      <c r="K9" s="54"/>
      <c r="L9" s="54">
        <f>L10</f>
        <v>22</v>
      </c>
      <c r="M9" s="2">
        <f t="shared" si="0"/>
        <v>0</v>
      </c>
      <c r="N9" s="2">
        <f t="shared" si="1"/>
        <v>22</v>
      </c>
      <c r="O9" s="2">
        <f t="shared" si="2"/>
        <v>22</v>
      </c>
      <c r="P9" s="180" t="e">
        <f t="shared" si="3"/>
        <v>#DIV/0!</v>
      </c>
    </row>
    <row r="10" spans="1:16" ht="30" customHeight="1">
      <c r="A10" s="10"/>
      <c r="B10" s="237" t="s">
        <v>261</v>
      </c>
      <c r="C10" s="238"/>
      <c r="D10" s="238"/>
      <c r="E10" s="8"/>
      <c r="F10" s="8"/>
      <c r="G10" s="8"/>
      <c r="H10" s="8"/>
      <c r="I10" s="8"/>
      <c r="J10" s="8"/>
      <c r="K10" s="55"/>
      <c r="L10" s="55">
        <v>22</v>
      </c>
      <c r="M10" s="2">
        <f t="shared" si="0"/>
        <v>0</v>
      </c>
      <c r="N10" s="2">
        <f t="shared" si="1"/>
        <v>22</v>
      </c>
      <c r="O10" s="2">
        <f t="shared" si="2"/>
        <v>22</v>
      </c>
      <c r="P10" s="179" t="e">
        <f t="shared" si="3"/>
        <v>#DIV/0!</v>
      </c>
    </row>
    <row r="11" spans="1:16" ht="46.5" customHeight="1">
      <c r="A11" s="10" t="s">
        <v>106</v>
      </c>
      <c r="B11" s="233" t="s">
        <v>98</v>
      </c>
      <c r="C11" s="234"/>
      <c r="D11" s="234"/>
      <c r="E11" s="2"/>
      <c r="F11" s="2"/>
      <c r="G11" s="2"/>
      <c r="H11" s="2">
        <f>H12</f>
        <v>299.89999999999998</v>
      </c>
      <c r="I11" s="2"/>
      <c r="J11" s="2">
        <f>J12</f>
        <v>5</v>
      </c>
      <c r="K11" s="54"/>
      <c r="L11" s="54"/>
      <c r="M11" s="2">
        <f t="shared" si="0"/>
        <v>0</v>
      </c>
      <c r="N11" s="2">
        <f t="shared" si="1"/>
        <v>304.89999999999998</v>
      </c>
      <c r="O11" s="2">
        <f t="shared" si="2"/>
        <v>304.89999999999998</v>
      </c>
      <c r="P11" s="180" t="e">
        <f t="shared" si="3"/>
        <v>#DIV/0!</v>
      </c>
    </row>
    <row r="12" spans="1:16" ht="141" customHeight="1">
      <c r="A12" s="10"/>
      <c r="B12" s="237" t="s">
        <v>260</v>
      </c>
      <c r="C12" s="238"/>
      <c r="D12" s="239"/>
      <c r="E12" s="8"/>
      <c r="F12" s="8"/>
      <c r="G12" s="8"/>
      <c r="H12" s="8">
        <v>299.89999999999998</v>
      </c>
      <c r="I12" s="8"/>
      <c r="J12" s="8">
        <v>5</v>
      </c>
      <c r="K12" s="55"/>
      <c r="L12" s="55"/>
      <c r="M12" s="2">
        <f t="shared" si="0"/>
        <v>0</v>
      </c>
      <c r="N12" s="2">
        <f>F12+H12+J12+L12</f>
        <v>304.89999999999998</v>
      </c>
      <c r="O12" s="2">
        <f t="shared" si="2"/>
        <v>304.89999999999998</v>
      </c>
      <c r="P12" s="179" t="e">
        <f t="shared" si="3"/>
        <v>#DIV/0!</v>
      </c>
    </row>
    <row r="13" spans="1:16" ht="40.5" customHeight="1">
      <c r="A13" s="235" t="s">
        <v>9</v>
      </c>
      <c r="B13" s="236"/>
      <c r="C13" s="236"/>
      <c r="D13" s="236"/>
      <c r="E13" s="2">
        <f t="shared" ref="E13:L13" si="4">E7+E9+E11</f>
        <v>0</v>
      </c>
      <c r="F13" s="2">
        <f t="shared" si="4"/>
        <v>0</v>
      </c>
      <c r="G13" s="2">
        <f t="shared" si="4"/>
        <v>0</v>
      </c>
      <c r="H13" s="2">
        <f t="shared" si="4"/>
        <v>299.89999999999998</v>
      </c>
      <c r="I13" s="2">
        <f t="shared" si="4"/>
        <v>0</v>
      </c>
      <c r="J13" s="2">
        <f t="shared" si="4"/>
        <v>5</v>
      </c>
      <c r="K13" s="2">
        <f t="shared" si="4"/>
        <v>0</v>
      </c>
      <c r="L13" s="2">
        <f t="shared" si="4"/>
        <v>184.5</v>
      </c>
      <c r="M13" s="2">
        <f t="shared" si="0"/>
        <v>0</v>
      </c>
      <c r="N13" s="2">
        <f>F13+H13+J13+L13</f>
        <v>489.4</v>
      </c>
      <c r="O13" s="2">
        <f t="shared" si="2"/>
        <v>489.4</v>
      </c>
      <c r="P13" s="2"/>
    </row>
    <row r="14" spans="1:16" ht="20.100000000000001" customHeight="1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7"/>
      <c r="L14" s="56"/>
      <c r="M14" s="49"/>
      <c r="N14" s="49"/>
      <c r="O14" s="49"/>
      <c r="P14" s="49"/>
    </row>
    <row r="15" spans="1:16" ht="20.100000000000001" customHeight="1">
      <c r="A15" s="58"/>
      <c r="B15" s="58"/>
      <c r="C15" s="59"/>
      <c r="D15" s="59"/>
      <c r="E15" s="59"/>
      <c r="F15" s="59"/>
      <c r="G15" s="59"/>
      <c r="H15" s="59"/>
      <c r="I15" s="59"/>
      <c r="J15" s="59"/>
      <c r="K15" s="49"/>
      <c r="L15" s="49"/>
      <c r="M15" s="49"/>
      <c r="N15" s="49"/>
      <c r="O15" s="49"/>
      <c r="P15" s="49"/>
    </row>
    <row r="16" spans="1:16" ht="18" customHeight="1">
      <c r="A16" s="58"/>
      <c r="B16" s="58"/>
      <c r="C16" s="59"/>
      <c r="D16" s="59"/>
      <c r="E16" s="59"/>
      <c r="F16" s="59"/>
      <c r="G16" s="59"/>
      <c r="H16" s="59"/>
      <c r="I16" s="59"/>
      <c r="J16" s="59"/>
      <c r="K16" s="49"/>
      <c r="L16" s="49"/>
      <c r="M16" s="49"/>
      <c r="N16" s="49"/>
      <c r="O16" s="49"/>
      <c r="P16" s="49"/>
    </row>
    <row r="17" spans="1:16" s="4" customFormat="1" ht="19.5" hidden="1" customHeight="1">
      <c r="A17" s="60"/>
      <c r="B17" s="60"/>
      <c r="C17" s="50"/>
      <c r="D17" s="50"/>
      <c r="E17" s="50"/>
      <c r="F17" s="5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s="64" customFormat="1" ht="49.5" customHeight="1">
      <c r="A18" s="61"/>
      <c r="B18" s="228" t="s">
        <v>376</v>
      </c>
      <c r="C18" s="229"/>
      <c r="D18" s="229"/>
      <c r="E18" s="62"/>
      <c r="F18" s="62"/>
      <c r="G18" s="230"/>
      <c r="H18" s="230"/>
      <c r="I18" s="230"/>
      <c r="J18" s="63"/>
      <c r="K18" s="209" t="s">
        <v>234</v>
      </c>
      <c r="L18" s="209"/>
      <c r="M18" s="209"/>
      <c r="N18" s="61"/>
      <c r="O18" s="61"/>
      <c r="P18" s="61"/>
    </row>
    <row r="19" spans="1:16" s="4" customFormat="1" ht="19.5" customHeight="1">
      <c r="A19" s="60"/>
      <c r="B19" s="231" t="s">
        <v>10</v>
      </c>
      <c r="C19" s="231"/>
      <c r="D19" s="231"/>
      <c r="E19" s="65"/>
      <c r="F19" s="65"/>
      <c r="G19" s="71"/>
      <c r="H19" s="72" t="s">
        <v>11</v>
      </c>
      <c r="I19" s="71"/>
      <c r="J19" s="65"/>
      <c r="K19" s="231" t="s">
        <v>17</v>
      </c>
      <c r="L19" s="231"/>
      <c r="M19" s="231"/>
      <c r="N19" s="60"/>
      <c r="O19" s="60"/>
      <c r="P19" s="60"/>
    </row>
    <row r="20" spans="1:16" ht="20.100000000000001" customHeight="1">
      <c r="A20" s="49"/>
      <c r="B20" s="66"/>
      <c r="C20" s="66"/>
      <c r="D20" s="66"/>
      <c r="E20" s="67"/>
      <c r="F20" s="67"/>
      <c r="G20" s="67"/>
      <c r="H20" s="67"/>
      <c r="I20" s="67"/>
      <c r="J20" s="67"/>
      <c r="K20" s="49"/>
      <c r="L20" s="49"/>
      <c r="M20" s="49"/>
      <c r="N20" s="49"/>
      <c r="O20" s="49"/>
      <c r="P20" s="49"/>
    </row>
    <row r="21" spans="1:16" ht="20.100000000000001" customHeight="1">
      <c r="A21" s="49"/>
      <c r="B21" s="66"/>
      <c r="C21" s="66"/>
      <c r="D21" s="66"/>
      <c r="E21" s="66"/>
      <c r="F21" s="66"/>
      <c r="G21" s="66"/>
      <c r="H21" s="66"/>
      <c r="I21" s="66"/>
      <c r="J21" s="66"/>
      <c r="K21" s="49"/>
      <c r="L21" s="49"/>
      <c r="M21" s="49"/>
      <c r="N21" s="49"/>
      <c r="O21" s="49"/>
      <c r="P21" s="49"/>
    </row>
    <row r="22" spans="1:16">
      <c r="A22" s="49"/>
      <c r="B22" s="66"/>
      <c r="C22" s="66"/>
      <c r="D22" s="66"/>
      <c r="E22" s="66"/>
      <c r="F22" s="66"/>
      <c r="G22" s="66"/>
      <c r="H22" s="66"/>
      <c r="I22" s="66"/>
      <c r="J22" s="66"/>
      <c r="K22" s="49"/>
      <c r="L22" s="49"/>
      <c r="M22" s="49"/>
      <c r="N22" s="49"/>
      <c r="O22" s="49"/>
      <c r="P22" s="49"/>
    </row>
    <row r="23" spans="1:16" s="227" customFormat="1" ht="19.149999999999999" customHeight="1">
      <c r="A23" s="226" t="s">
        <v>52</v>
      </c>
    </row>
    <row r="26" spans="1:16">
      <c r="B26" s="68"/>
    </row>
    <row r="27" spans="1:16">
      <c r="B27" s="68"/>
    </row>
    <row r="28" spans="1:16">
      <c r="B28" s="68"/>
    </row>
    <row r="29" spans="1:16">
      <c r="B29" s="68"/>
    </row>
    <row r="30" spans="1:16">
      <c r="B30" s="68"/>
    </row>
    <row r="31" spans="1:16">
      <c r="B31" s="68"/>
    </row>
    <row r="32" spans="1:16">
      <c r="B32" s="68"/>
    </row>
  </sheetData>
  <mergeCells count="22">
    <mergeCell ref="D2:M2"/>
    <mergeCell ref="B11:D11"/>
    <mergeCell ref="A13:D13"/>
    <mergeCell ref="B12:D12"/>
    <mergeCell ref="A4:A5"/>
    <mergeCell ref="B7:D7"/>
    <mergeCell ref="B8:D8"/>
    <mergeCell ref="B9:D9"/>
    <mergeCell ref="B10:D10"/>
    <mergeCell ref="M4:P4"/>
    <mergeCell ref="G4:H4"/>
    <mergeCell ref="B6:D6"/>
    <mergeCell ref="K4:L4"/>
    <mergeCell ref="I4:J4"/>
    <mergeCell ref="B4:D5"/>
    <mergeCell ref="E4:F4"/>
    <mergeCell ref="A23:XFD23"/>
    <mergeCell ref="B18:D18"/>
    <mergeCell ref="G18:I18"/>
    <mergeCell ref="K18:M18"/>
    <mergeCell ref="K19:M19"/>
    <mergeCell ref="B19:D19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5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2022-10-05T08:51:10Z</cp:lastPrinted>
  <dcterms:created xsi:type="dcterms:W3CDTF">2003-03-13T16:00:22Z</dcterms:created>
  <dcterms:modified xsi:type="dcterms:W3CDTF">2022-10-05T09:42:15Z</dcterms:modified>
</cp:coreProperties>
</file>